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drawings/drawing11.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Denne_projektmappe" defaultThemeVersion="202300"/>
  <mc:AlternateContent xmlns:mc="http://schemas.openxmlformats.org/markup-compatibility/2006">
    <mc:Choice Requires="x15">
      <x15ac:absPath xmlns:x15ac="http://schemas.microsoft.com/office/spreadsheetml/2010/11/ac" url="C:\Users\jeaols\Desktop\Hjemmesiden\PFAS\"/>
    </mc:Choice>
  </mc:AlternateContent>
  <xr:revisionPtr revIDLastSave="0" documentId="8_{A081BA14-6334-4B6C-97C3-227B77D721EA}" xr6:coauthVersionLast="47" xr6:coauthVersionMax="47" xr10:uidLastSave="{00000000-0000-0000-0000-000000000000}"/>
  <bookViews>
    <workbookView xWindow="-120" yWindow="-120" windowWidth="29040" windowHeight="15720" tabRatio="817" xr2:uid="{3EF189A2-4057-4396-9D7A-C1597E086F6C}"/>
  </bookViews>
  <sheets>
    <sheet name="Intro" sheetId="5" r:id="rId1"/>
    <sheet name="Analyser og resultater" sheetId="12" r:id="rId2"/>
    <sheet name="Jordtype" sheetId="11" r:id="rId3"/>
    <sheet name="PieCharts1" sheetId="30" r:id="rId4"/>
    <sheet name="PieCharts2" sheetId="28" r:id="rId5"/>
    <sheet name="Følsomhedsanalyse" sheetId="18" r:id="rId6"/>
    <sheet name="Jordparametre" sheetId="7" r:id="rId7"/>
    <sheet name="Kia og Kd" sheetId="4" r:id="rId8"/>
    <sheet name="Referenceliste" sheetId="27" r:id="rId9"/>
    <sheet name="Forklaring (Ct vs. Cs)" sheetId="34" r:id="rId10"/>
    <sheet name="Kia" sheetId="15" r:id="rId11"/>
    <sheet name="Aia" sheetId="16" r:id="rId12"/>
    <sheet name="Ændringslog" sheetId="32" r:id="rId13"/>
    <sheet name="Tomt ark" sheetId="31" r:id="rId14"/>
    <sheet name="Forklaring (Kladde)" sheetId="33" state="hidden" r:id="rId15"/>
    <sheet name="Rullelister mm." sheetId="21" state="hidden" r:id="rId16"/>
  </sheets>
  <definedNames>
    <definedName name="Batch">#REF!</definedName>
    <definedName name="BetydendeCifre" localSheetId="9">#REF!</definedName>
    <definedName name="BetydendeCifre">'Rullelister mm.'!$G$2:$G$3</definedName>
    <definedName name="Bnummer">#REF!</definedName>
    <definedName name="_xlnm.Database">#REF!</definedName>
    <definedName name="FølsomhedsanalyseKd" localSheetId="9">#REF!</definedName>
    <definedName name="FølsomhedsanalyseKd">'Rullelister mm.'!$F$2:$F$3</definedName>
    <definedName name="FølsomhedsanalyseKia" localSheetId="9">#REF!</definedName>
    <definedName name="FølsomhedsanalyseKia">'Rullelister mm.'!$E$2:$E$4</definedName>
    <definedName name="Ingen" localSheetId="9">#REF!</definedName>
    <definedName name="Ingen">'Rullelister mm.'!$A$4:$A$5</definedName>
    <definedName name="ModtagDato">#REF!</definedName>
    <definedName name="MZ" localSheetId="9">#REF!</definedName>
    <definedName name="MZ">'Rullelister mm.'!$C$2:$C$6</definedName>
    <definedName name="PID">#REF!</definedName>
    <definedName name="Preliminary">#REF!</definedName>
    <definedName name="RapportDato">#REF!</definedName>
    <definedName name="Sagsnavn">#REF!</definedName>
    <definedName name="Sagsnr">#REF!</definedName>
    <definedName name="solver_adj" localSheetId="2" hidden="1">Jordtype!$F$6</definedName>
    <definedName name="solver_cvg" localSheetId="2" hidden="1">0.0001</definedName>
    <definedName name="solver_drv" localSheetId="2" hidden="1">1</definedName>
    <definedName name="solver_eng" localSheetId="2" hidden="1">1</definedName>
    <definedName name="solver_est" localSheetId="2" hidden="1">1</definedName>
    <definedName name="solver_itr" localSheetId="2" hidden="1">2147483647</definedName>
    <definedName name="solver_mip" localSheetId="2" hidden="1">2147483647</definedName>
    <definedName name="solver_mni" localSheetId="2" hidden="1">30</definedName>
    <definedName name="solver_mrt" localSheetId="2" hidden="1">0.075</definedName>
    <definedName name="solver_msl" localSheetId="2" hidden="1">2</definedName>
    <definedName name="solver_neg" localSheetId="2" hidden="1">1</definedName>
    <definedName name="solver_nod" localSheetId="2" hidden="1">2147483647</definedName>
    <definedName name="solver_num" localSheetId="2" hidden="1">0</definedName>
    <definedName name="solver_nwt" localSheetId="2" hidden="1">1</definedName>
    <definedName name="solver_opt" localSheetId="2" hidden="1">Jordtype!$K$7</definedName>
    <definedName name="solver_pre" localSheetId="2" hidden="1">0.000001</definedName>
    <definedName name="solver_rbv" localSheetId="2" hidden="1">1</definedName>
    <definedName name="solver_rlx" localSheetId="2" hidden="1">2</definedName>
    <definedName name="solver_rsd" localSheetId="2" hidden="1">0</definedName>
    <definedName name="solver_scl" localSheetId="2" hidden="1">1</definedName>
    <definedName name="solver_sho" localSheetId="2" hidden="1">2</definedName>
    <definedName name="solver_ssz" localSheetId="2" hidden="1">100</definedName>
    <definedName name="solver_tim" localSheetId="2" hidden="1">2147483647</definedName>
    <definedName name="solver_tol" localSheetId="2" hidden="1">0.01</definedName>
    <definedName name="solver_typ" localSheetId="2" hidden="1">3</definedName>
    <definedName name="solver_val" localSheetId="2" hidden="1">0.6</definedName>
    <definedName name="solver_ver" localSheetId="2" hidden="1">3</definedName>
    <definedName name="_xlnm.Print_Area" localSheetId="11">Aia!$A$1:$Y$81</definedName>
    <definedName name="_xlnm.Print_Area" localSheetId="1">'Analyser og resultater'!$A$1:$O$41</definedName>
    <definedName name="_xlnm.Print_Area" localSheetId="9">'Forklaring (Ct vs. Cs)'!$A$1:$J$37</definedName>
    <definedName name="_xlnm.Print_Area" localSheetId="14">'Forklaring (Kladde)'!#REF!</definedName>
    <definedName name="_xlnm.Print_Area" localSheetId="5">Følsomhedsanalyse!$A$1:$AD$40</definedName>
    <definedName name="_xlnm.Print_Area" localSheetId="0">Intro!$A$1:$M$34</definedName>
    <definedName name="_xlnm.Print_Area" localSheetId="6">Jordparametre!$A$1:$I$34</definedName>
    <definedName name="_xlnm.Print_Area" localSheetId="2">Jordtype!$A$1:$N$27</definedName>
    <definedName name="_xlnm.Print_Area" localSheetId="10">Kia!$A$1:$AB$42</definedName>
    <definedName name="_xlnm.Print_Area" localSheetId="7">'Kia og Kd'!$A$1:$AB$61</definedName>
    <definedName name="_xlnm.Print_Area" localSheetId="3">PieCharts1!$A$1:$Q$108</definedName>
    <definedName name="_xlnm.Print_Area" localSheetId="4">PieCharts2!$A$1:$X$34</definedName>
    <definedName name="_xlnm.Print_Area" localSheetId="8">Referenceliste!$A$1:$C$14</definedName>
    <definedName name="_xlnm.Print_Area" localSheetId="12">Ændringslog!$A$1:$D$37</definedName>
    <definedName name="UdtagningsDato">#REF!</definedName>
    <definedName name="UZ" localSheetId="9">#REF!</definedName>
    <definedName name="UZ">'Rullelister mm.'!$B$2:$B$8</definedName>
    <definedName name="Zoner" localSheetId="9">#REF!</definedName>
    <definedName name="Zoner">'Rullelister mm.'!$A$2:$A$4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12" l="1"/>
  <c r="D9" i="11" l="1"/>
  <c r="H19" i="11"/>
  <c r="H20" i="11" s="1"/>
  <c r="W34" i="28" l="1"/>
  <c r="P108" i="30"/>
  <c r="AC40" i="18"/>
  <c r="Y81" i="16"/>
  <c r="L32" i="12"/>
  <c r="B6" i="11"/>
  <c r="AB42" i="15"/>
  <c r="J37" i="34"/>
  <c r="C14" i="27"/>
  <c r="D37" i="32"/>
  <c r="A32" i="12"/>
  <c r="M3" i="11"/>
  <c r="B7" i="11"/>
  <c r="L33" i="12" l="1"/>
  <c r="Q29" i="12" s="1"/>
  <c r="AP5" i="12"/>
  <c r="D7" i="4" l="1"/>
  <c r="D6" i="4"/>
  <c r="F10" i="18"/>
  <c r="Y46" i="4"/>
  <c r="X46" i="4"/>
  <c r="W46" i="4"/>
  <c r="V46" i="4"/>
  <c r="U46" i="4"/>
  <c r="T46" i="4"/>
  <c r="S46" i="4"/>
  <c r="R46" i="4"/>
  <c r="Q46" i="4"/>
  <c r="P46" i="4"/>
  <c r="O46" i="4"/>
  <c r="N46" i="4"/>
  <c r="M46" i="4"/>
  <c r="L46" i="4"/>
  <c r="K46" i="4"/>
  <c r="J46" i="4"/>
  <c r="I46" i="4"/>
  <c r="H46" i="4"/>
  <c r="G46" i="4"/>
  <c r="F46" i="4"/>
  <c r="E46" i="4"/>
  <c r="Y45" i="4"/>
  <c r="X45" i="4"/>
  <c r="W45" i="4"/>
  <c r="V45" i="4"/>
  <c r="U45" i="4"/>
  <c r="T45" i="4"/>
  <c r="S45" i="4"/>
  <c r="R45" i="4"/>
  <c r="Q45" i="4"/>
  <c r="P45" i="4"/>
  <c r="O45" i="4"/>
  <c r="N45" i="4"/>
  <c r="M45" i="4"/>
  <c r="L45" i="4"/>
  <c r="K45" i="4"/>
  <c r="J45" i="4"/>
  <c r="I45" i="4"/>
  <c r="H45" i="4"/>
  <c r="G45" i="4"/>
  <c r="F45" i="4"/>
  <c r="E45" i="4"/>
  <c r="Y44" i="4"/>
  <c r="X44" i="4"/>
  <c r="W44" i="4"/>
  <c r="V44" i="4"/>
  <c r="U44" i="4"/>
  <c r="T44" i="4"/>
  <c r="S44" i="4"/>
  <c r="R44" i="4"/>
  <c r="Q44" i="4"/>
  <c r="P44" i="4"/>
  <c r="O44" i="4"/>
  <c r="N44" i="4"/>
  <c r="M44" i="4"/>
  <c r="L44" i="4"/>
  <c r="K44" i="4"/>
  <c r="J44" i="4"/>
  <c r="I44" i="4"/>
  <c r="H44" i="4"/>
  <c r="G44" i="4"/>
  <c r="F44" i="4"/>
  <c r="E44" i="4"/>
  <c r="Y42" i="4"/>
  <c r="X42" i="4"/>
  <c r="W42" i="4"/>
  <c r="V42" i="4"/>
  <c r="U42" i="4"/>
  <c r="T42" i="4"/>
  <c r="S42" i="4"/>
  <c r="R42" i="4"/>
  <c r="Q42" i="4"/>
  <c r="P42" i="4"/>
  <c r="O42" i="4"/>
  <c r="N42" i="4"/>
  <c r="M42" i="4"/>
  <c r="L42" i="4"/>
  <c r="K42" i="4"/>
  <c r="J42" i="4"/>
  <c r="I42" i="4"/>
  <c r="H42" i="4"/>
  <c r="G42" i="4"/>
  <c r="F42" i="4"/>
  <c r="E42" i="4"/>
  <c r="Y41" i="4"/>
  <c r="X41" i="4"/>
  <c r="W41" i="4"/>
  <c r="V41" i="4"/>
  <c r="U41" i="4"/>
  <c r="T41" i="4"/>
  <c r="S41" i="4"/>
  <c r="R41" i="4"/>
  <c r="Q41" i="4"/>
  <c r="P41" i="4"/>
  <c r="O41" i="4"/>
  <c r="N41" i="4"/>
  <c r="M41" i="4"/>
  <c r="L41" i="4"/>
  <c r="K41" i="4"/>
  <c r="J41" i="4"/>
  <c r="I41" i="4"/>
  <c r="H41" i="4"/>
  <c r="G41" i="4"/>
  <c r="F41" i="4"/>
  <c r="E41" i="4"/>
  <c r="Y29" i="4"/>
  <c r="Y31" i="4"/>
  <c r="X31" i="4"/>
  <c r="W31" i="4"/>
  <c r="V31" i="4"/>
  <c r="U31" i="4"/>
  <c r="T31" i="4"/>
  <c r="S31" i="4"/>
  <c r="R31" i="4"/>
  <c r="Q31" i="4"/>
  <c r="P31" i="4"/>
  <c r="O31" i="4"/>
  <c r="N31" i="4"/>
  <c r="M31" i="4"/>
  <c r="L31" i="4"/>
  <c r="K31" i="4"/>
  <c r="J31" i="4"/>
  <c r="I31" i="4"/>
  <c r="H31" i="4"/>
  <c r="G31" i="4"/>
  <c r="F31" i="4"/>
  <c r="E31" i="4"/>
  <c r="Y30" i="4"/>
  <c r="X30" i="4"/>
  <c r="W30" i="4"/>
  <c r="V30" i="4"/>
  <c r="U30" i="4"/>
  <c r="T30" i="4"/>
  <c r="S30" i="4"/>
  <c r="R30" i="4"/>
  <c r="Q30" i="4"/>
  <c r="P30" i="4"/>
  <c r="O30" i="4"/>
  <c r="N30" i="4"/>
  <c r="M30" i="4"/>
  <c r="L30" i="4"/>
  <c r="K30" i="4"/>
  <c r="J30" i="4"/>
  <c r="I30" i="4"/>
  <c r="H30" i="4"/>
  <c r="G30" i="4"/>
  <c r="F30" i="4"/>
  <c r="E30" i="4"/>
  <c r="X29" i="4"/>
  <c r="W29" i="4"/>
  <c r="V29" i="4"/>
  <c r="U29" i="4"/>
  <c r="T29" i="4"/>
  <c r="S29" i="4"/>
  <c r="R29" i="4"/>
  <c r="Q29" i="4"/>
  <c r="P29" i="4"/>
  <c r="O29" i="4"/>
  <c r="N29" i="4"/>
  <c r="M29" i="4"/>
  <c r="L29" i="4"/>
  <c r="K29" i="4"/>
  <c r="J29" i="4"/>
  <c r="I29" i="4"/>
  <c r="H29" i="4"/>
  <c r="G29" i="4"/>
  <c r="F29" i="4"/>
  <c r="E29" i="4"/>
  <c r="Y27" i="4"/>
  <c r="X27" i="4"/>
  <c r="W27" i="4"/>
  <c r="V27" i="4"/>
  <c r="U27" i="4"/>
  <c r="T27" i="4"/>
  <c r="S27" i="4"/>
  <c r="R27" i="4"/>
  <c r="Q27" i="4"/>
  <c r="P27" i="4"/>
  <c r="O27" i="4"/>
  <c r="N27" i="4"/>
  <c r="M27" i="4"/>
  <c r="L27" i="4"/>
  <c r="K27" i="4"/>
  <c r="J27" i="4"/>
  <c r="I27" i="4"/>
  <c r="H27" i="4"/>
  <c r="G27" i="4"/>
  <c r="F27" i="4"/>
  <c r="E27" i="4"/>
  <c r="Y26" i="4"/>
  <c r="X26" i="4"/>
  <c r="W26" i="4"/>
  <c r="V26" i="4"/>
  <c r="U26" i="4"/>
  <c r="T26" i="4"/>
  <c r="S26" i="4"/>
  <c r="R26" i="4"/>
  <c r="Q26" i="4"/>
  <c r="P26" i="4"/>
  <c r="O26" i="4"/>
  <c r="N26" i="4"/>
  <c r="M26" i="4"/>
  <c r="L26" i="4"/>
  <c r="K26" i="4"/>
  <c r="J26" i="4"/>
  <c r="I26" i="4"/>
  <c r="H26" i="4"/>
  <c r="G26" i="4"/>
  <c r="F26" i="4"/>
  <c r="E26" i="4"/>
  <c r="D46" i="4"/>
  <c r="D45" i="4"/>
  <c r="D44" i="4"/>
  <c r="D42" i="4"/>
  <c r="D41" i="4"/>
  <c r="D31" i="4"/>
  <c r="D30" i="4"/>
  <c r="D29" i="4"/>
  <c r="D27" i="4"/>
  <c r="D26" i="4"/>
  <c r="O15" i="4"/>
  <c r="Y16" i="4"/>
  <c r="X16" i="4"/>
  <c r="W16" i="4"/>
  <c r="V16" i="4"/>
  <c r="U16" i="4"/>
  <c r="T16" i="4"/>
  <c r="S16" i="4"/>
  <c r="R16" i="4"/>
  <c r="Q16" i="4"/>
  <c r="P16" i="4"/>
  <c r="O16" i="4"/>
  <c r="N16" i="4"/>
  <c r="M16" i="4"/>
  <c r="L16" i="4"/>
  <c r="K16" i="4"/>
  <c r="J16" i="4"/>
  <c r="I16" i="4"/>
  <c r="H16" i="4"/>
  <c r="G16" i="4"/>
  <c r="F16" i="4"/>
  <c r="E16" i="4"/>
  <c r="Y15" i="4"/>
  <c r="X15" i="4"/>
  <c r="W15" i="4"/>
  <c r="V15" i="4"/>
  <c r="U15" i="4"/>
  <c r="T15" i="4"/>
  <c r="S15" i="4"/>
  <c r="R15" i="4"/>
  <c r="Q15" i="4"/>
  <c r="P15" i="4"/>
  <c r="N15" i="4"/>
  <c r="M15" i="4"/>
  <c r="L15" i="4"/>
  <c r="K15" i="4"/>
  <c r="J15" i="4"/>
  <c r="I15" i="4"/>
  <c r="H15" i="4"/>
  <c r="G15" i="4"/>
  <c r="F15" i="4"/>
  <c r="E15" i="4"/>
  <c r="Y14" i="4"/>
  <c r="X14" i="4"/>
  <c r="W14" i="4"/>
  <c r="V14" i="4"/>
  <c r="U14" i="4"/>
  <c r="T14" i="4"/>
  <c r="S14" i="4"/>
  <c r="R14" i="4"/>
  <c r="Q14" i="4"/>
  <c r="P14" i="4"/>
  <c r="O14" i="4"/>
  <c r="N14" i="4"/>
  <c r="M14" i="4"/>
  <c r="L14" i="4"/>
  <c r="K14" i="4"/>
  <c r="J14" i="4"/>
  <c r="I14" i="4"/>
  <c r="H14" i="4"/>
  <c r="G14" i="4"/>
  <c r="F14" i="4"/>
  <c r="E14" i="4"/>
  <c r="Y12" i="4"/>
  <c r="X12" i="4"/>
  <c r="W12" i="4"/>
  <c r="V12" i="4"/>
  <c r="U12" i="4"/>
  <c r="T12" i="4"/>
  <c r="S12" i="4"/>
  <c r="R12" i="4"/>
  <c r="Q12" i="4"/>
  <c r="P12" i="4"/>
  <c r="O12" i="4"/>
  <c r="N12" i="4"/>
  <c r="M12" i="4"/>
  <c r="L12" i="4"/>
  <c r="K12" i="4"/>
  <c r="J12" i="4"/>
  <c r="I12" i="4"/>
  <c r="H12" i="4"/>
  <c r="G12" i="4"/>
  <c r="F12" i="4"/>
  <c r="E12" i="4"/>
  <c r="Y11" i="4"/>
  <c r="X11" i="4"/>
  <c r="W11" i="4"/>
  <c r="V11" i="4"/>
  <c r="U11" i="4"/>
  <c r="T11" i="4"/>
  <c r="S11" i="4"/>
  <c r="R11" i="4"/>
  <c r="Q11" i="4"/>
  <c r="P11" i="4"/>
  <c r="O11" i="4"/>
  <c r="N11" i="4"/>
  <c r="M11" i="4"/>
  <c r="L11" i="4"/>
  <c r="K11" i="4"/>
  <c r="J11" i="4"/>
  <c r="I11" i="4"/>
  <c r="H11" i="4"/>
  <c r="G11" i="4"/>
  <c r="F11" i="4"/>
  <c r="E11" i="4"/>
  <c r="AB22" i="4"/>
  <c r="Y52" i="4" s="1"/>
  <c r="AB21" i="4"/>
  <c r="N51" i="4" s="1"/>
  <c r="AB19" i="4"/>
  <c r="X49" i="4" s="1"/>
  <c r="AB18" i="4"/>
  <c r="M48" i="4" s="1"/>
  <c r="AB17" i="4"/>
  <c r="R47" i="4" s="1"/>
  <c r="AB13" i="4"/>
  <c r="V43" i="4" s="1"/>
  <c r="X28" i="4" l="1"/>
  <c r="V28" i="4"/>
  <c r="P32" i="4"/>
  <c r="S32" i="4"/>
  <c r="I17" i="4"/>
  <c r="T17" i="4"/>
  <c r="V34" i="4"/>
  <c r="V17" i="4"/>
  <c r="P21" i="4"/>
  <c r="K22" i="4"/>
  <c r="W17" i="4"/>
  <c r="U17" i="4"/>
  <c r="F34" i="4"/>
  <c r="G43" i="4"/>
  <c r="G13" i="4"/>
  <c r="Y17" i="4"/>
  <c r="D28" i="4"/>
  <c r="J43" i="4"/>
  <c r="H13" i="4"/>
  <c r="J19" i="4"/>
  <c r="L36" i="4"/>
  <c r="W43" i="4"/>
  <c r="F47" i="4"/>
  <c r="I13" i="4"/>
  <c r="G37" i="4"/>
  <c r="S47" i="4"/>
  <c r="J13" i="4"/>
  <c r="W37" i="4"/>
  <c r="V47" i="4"/>
  <c r="L13" i="4"/>
  <c r="I49" i="4"/>
  <c r="E28" i="4"/>
  <c r="Y49" i="4"/>
  <c r="F28" i="4"/>
  <c r="N13" i="4"/>
  <c r="O13" i="4"/>
  <c r="W13" i="4"/>
  <c r="H28" i="4"/>
  <c r="E17" i="4"/>
  <c r="S28" i="4"/>
  <c r="X13" i="4"/>
  <c r="Y13" i="4"/>
  <c r="F17" i="4"/>
  <c r="D47" i="4"/>
  <c r="T28" i="4"/>
  <c r="O51" i="4"/>
  <c r="AB20" i="4"/>
  <c r="E35" i="4" s="1"/>
  <c r="G17" i="4"/>
  <c r="U28" i="4"/>
  <c r="J52" i="4"/>
  <c r="O18" i="4"/>
  <c r="K33" i="4"/>
  <c r="P18" i="4"/>
  <c r="K19" i="4"/>
  <c r="Q21" i="4"/>
  <c r="L22" i="4"/>
  <c r="Q32" i="4"/>
  <c r="L33" i="4"/>
  <c r="G34" i="4"/>
  <c r="W34" i="4"/>
  <c r="M36" i="4"/>
  <c r="H37" i="4"/>
  <c r="X37" i="4"/>
  <c r="H43" i="4"/>
  <c r="X43" i="4"/>
  <c r="T47" i="4"/>
  <c r="O48" i="4"/>
  <c r="J49" i="4"/>
  <c r="P51" i="4"/>
  <c r="K52" i="4"/>
  <c r="Q18" i="4"/>
  <c r="L19" i="4"/>
  <c r="R21" i="4"/>
  <c r="M22" i="4"/>
  <c r="R32" i="4"/>
  <c r="M33" i="4"/>
  <c r="H34" i="4"/>
  <c r="X34" i="4"/>
  <c r="N36" i="4"/>
  <c r="I37" i="4"/>
  <c r="Y37" i="4"/>
  <c r="I43" i="4"/>
  <c r="Y43" i="4"/>
  <c r="E47" i="4"/>
  <c r="U47" i="4"/>
  <c r="P48" i="4"/>
  <c r="K49" i="4"/>
  <c r="Q51" i="4"/>
  <c r="L52" i="4"/>
  <c r="L49" i="4"/>
  <c r="M52" i="4"/>
  <c r="K13" i="4"/>
  <c r="H17" i="4"/>
  <c r="X17" i="4"/>
  <c r="S18" i="4"/>
  <c r="N19" i="4"/>
  <c r="T21" i="4"/>
  <c r="O22" i="4"/>
  <c r="D49" i="4"/>
  <c r="G28" i="4"/>
  <c r="W28" i="4"/>
  <c r="T32" i="4"/>
  <c r="O33" i="4"/>
  <c r="J34" i="4"/>
  <c r="P36" i="4"/>
  <c r="K37" i="4"/>
  <c r="K43" i="4"/>
  <c r="G47" i="4"/>
  <c r="W47" i="4"/>
  <c r="R48" i="4"/>
  <c r="M49" i="4"/>
  <c r="S51" i="4"/>
  <c r="N52" i="4"/>
  <c r="N33" i="4"/>
  <c r="E21" i="4"/>
  <c r="E32" i="4"/>
  <c r="U32" i="4"/>
  <c r="P33" i="4"/>
  <c r="K34" i="4"/>
  <c r="Q36" i="4"/>
  <c r="L37" i="4"/>
  <c r="L43" i="4"/>
  <c r="H47" i="4"/>
  <c r="X47" i="4"/>
  <c r="S48" i="4"/>
  <c r="N49" i="4"/>
  <c r="T51" i="4"/>
  <c r="O52" i="4"/>
  <c r="O36" i="4"/>
  <c r="U21" i="4"/>
  <c r="M13" i="4"/>
  <c r="J17" i="4"/>
  <c r="E18" i="4"/>
  <c r="U18" i="4"/>
  <c r="P19" i="4"/>
  <c r="F21" i="4"/>
  <c r="V21" i="4"/>
  <c r="Q22" i="4"/>
  <c r="D32" i="4"/>
  <c r="D51" i="4"/>
  <c r="I28" i="4"/>
  <c r="Y28" i="4"/>
  <c r="F32" i="4"/>
  <c r="V32" i="4"/>
  <c r="Q33" i="4"/>
  <c r="L34" i="4"/>
  <c r="R36" i="4"/>
  <c r="M37" i="4"/>
  <c r="M43" i="4"/>
  <c r="I47" i="4"/>
  <c r="Y47" i="4"/>
  <c r="T48" i="4"/>
  <c r="O49" i="4"/>
  <c r="E51" i="4"/>
  <c r="U51" i="4"/>
  <c r="P52" i="4"/>
  <c r="S21" i="4"/>
  <c r="I34" i="4"/>
  <c r="K17" i="4"/>
  <c r="F18" i="4"/>
  <c r="V18" i="4"/>
  <c r="Q19" i="4"/>
  <c r="G21" i="4"/>
  <c r="W21" i="4"/>
  <c r="R22" i="4"/>
  <c r="D33" i="4"/>
  <c r="D52" i="4"/>
  <c r="J28" i="4"/>
  <c r="G32" i="4"/>
  <c r="W32" i="4"/>
  <c r="R33" i="4"/>
  <c r="M34" i="4"/>
  <c r="S36" i="4"/>
  <c r="N37" i="4"/>
  <c r="N43" i="4"/>
  <c r="J47" i="4"/>
  <c r="E48" i="4"/>
  <c r="U48" i="4"/>
  <c r="P49" i="4"/>
  <c r="F51" i="4"/>
  <c r="V51" i="4"/>
  <c r="Q52" i="4"/>
  <c r="L17" i="4"/>
  <c r="X21" i="4"/>
  <c r="S22" i="4"/>
  <c r="D34" i="4"/>
  <c r="K28" i="4"/>
  <c r="H32" i="4"/>
  <c r="X32" i="4"/>
  <c r="S33" i="4"/>
  <c r="N34" i="4"/>
  <c r="T36" i="4"/>
  <c r="O37" i="4"/>
  <c r="O43" i="4"/>
  <c r="K47" i="4"/>
  <c r="F48" i="4"/>
  <c r="V48" i="4"/>
  <c r="Q49" i="4"/>
  <c r="L50" i="4"/>
  <c r="G51" i="4"/>
  <c r="W51" i="4"/>
  <c r="R52" i="4"/>
  <c r="J37" i="4"/>
  <c r="Q48" i="4"/>
  <c r="W18" i="4"/>
  <c r="P13" i="4"/>
  <c r="M17" i="4"/>
  <c r="H18" i="4"/>
  <c r="X18" i="4"/>
  <c r="S19" i="4"/>
  <c r="I21" i="4"/>
  <c r="Y21" i="4"/>
  <c r="T22" i="4"/>
  <c r="D35" i="4"/>
  <c r="L28" i="4"/>
  <c r="I32" i="4"/>
  <c r="Y32" i="4"/>
  <c r="T33" i="4"/>
  <c r="O34" i="4"/>
  <c r="E36" i="4"/>
  <c r="U36" i="4"/>
  <c r="P37" i="4"/>
  <c r="P43" i="4"/>
  <c r="L47" i="4"/>
  <c r="G48" i="4"/>
  <c r="W48" i="4"/>
  <c r="R49" i="4"/>
  <c r="H51" i="4"/>
  <c r="X51" i="4"/>
  <c r="S52" i="4"/>
  <c r="N22" i="4"/>
  <c r="Q13" i="4"/>
  <c r="N17" i="4"/>
  <c r="I18" i="4"/>
  <c r="Y18" i="4"/>
  <c r="T19" i="4"/>
  <c r="J21" i="4"/>
  <c r="E22" i="4"/>
  <c r="U22" i="4"/>
  <c r="D36" i="4"/>
  <c r="M28" i="4"/>
  <c r="J32" i="4"/>
  <c r="E33" i="4"/>
  <c r="U33" i="4"/>
  <c r="P34" i="4"/>
  <c r="F36" i="4"/>
  <c r="V36" i="4"/>
  <c r="Q37" i="4"/>
  <c r="Q43" i="4"/>
  <c r="M47" i="4"/>
  <c r="H48" i="4"/>
  <c r="X48" i="4"/>
  <c r="S49" i="4"/>
  <c r="I51" i="4"/>
  <c r="Y51" i="4"/>
  <c r="T52" i="4"/>
  <c r="R51" i="4"/>
  <c r="R19" i="4"/>
  <c r="R13" i="4"/>
  <c r="O17" i="4"/>
  <c r="J18" i="4"/>
  <c r="E19" i="4"/>
  <c r="U19" i="4"/>
  <c r="K21" i="4"/>
  <c r="F22" i="4"/>
  <c r="V22" i="4"/>
  <c r="D37" i="4"/>
  <c r="N28" i="4"/>
  <c r="K32" i="4"/>
  <c r="F33" i="4"/>
  <c r="V33" i="4"/>
  <c r="Q34" i="4"/>
  <c r="G36" i="4"/>
  <c r="W36" i="4"/>
  <c r="R37" i="4"/>
  <c r="R43" i="4"/>
  <c r="N47" i="4"/>
  <c r="I48" i="4"/>
  <c r="Y48" i="4"/>
  <c r="T49" i="4"/>
  <c r="J51" i="4"/>
  <c r="E52" i="4"/>
  <c r="U52" i="4"/>
  <c r="M19" i="4"/>
  <c r="G18" i="4"/>
  <c r="S13" i="4"/>
  <c r="P17" i="4"/>
  <c r="K18" i="4"/>
  <c r="F19" i="4"/>
  <c r="V19" i="4"/>
  <c r="Q20" i="4"/>
  <c r="L21" i="4"/>
  <c r="G22" i="4"/>
  <c r="W22" i="4"/>
  <c r="O28" i="4"/>
  <c r="L32" i="4"/>
  <c r="G33" i="4"/>
  <c r="W33" i="4"/>
  <c r="R34" i="4"/>
  <c r="H36" i="4"/>
  <c r="X36" i="4"/>
  <c r="S37" i="4"/>
  <c r="S43" i="4"/>
  <c r="O47" i="4"/>
  <c r="J48" i="4"/>
  <c r="E49" i="4"/>
  <c r="U49" i="4"/>
  <c r="K51" i="4"/>
  <c r="F52" i="4"/>
  <c r="V52" i="4"/>
  <c r="N48" i="4"/>
  <c r="D48" i="4"/>
  <c r="Y34" i="4"/>
  <c r="P22" i="4"/>
  <c r="H21" i="4"/>
  <c r="T13" i="4"/>
  <c r="Q17" i="4"/>
  <c r="L18" i="4"/>
  <c r="G19" i="4"/>
  <c r="W19" i="4"/>
  <c r="R20" i="4"/>
  <c r="M21" i="4"/>
  <c r="H22" i="4"/>
  <c r="X22" i="4"/>
  <c r="P28" i="4"/>
  <c r="M32" i="4"/>
  <c r="H33" i="4"/>
  <c r="X33" i="4"/>
  <c r="S34" i="4"/>
  <c r="I36" i="4"/>
  <c r="Y36" i="4"/>
  <c r="T37" i="4"/>
  <c r="T43" i="4"/>
  <c r="P47" i="4"/>
  <c r="K48" i="4"/>
  <c r="F49" i="4"/>
  <c r="V49" i="4"/>
  <c r="L51" i="4"/>
  <c r="G52" i="4"/>
  <c r="W52" i="4"/>
  <c r="O19" i="4"/>
  <c r="E13" i="4"/>
  <c r="U13" i="4"/>
  <c r="R17" i="4"/>
  <c r="M18" i="4"/>
  <c r="H19" i="4"/>
  <c r="X19" i="4"/>
  <c r="N21" i="4"/>
  <c r="I22" i="4"/>
  <c r="Y22" i="4"/>
  <c r="D43" i="4"/>
  <c r="Q28" i="4"/>
  <c r="N32" i="4"/>
  <c r="I33" i="4"/>
  <c r="Y33" i="4"/>
  <c r="T34" i="4"/>
  <c r="J36" i="4"/>
  <c r="E37" i="4"/>
  <c r="U37" i="4"/>
  <c r="E43" i="4"/>
  <c r="U43" i="4"/>
  <c r="Q47" i="4"/>
  <c r="L48" i="4"/>
  <c r="G49" i="4"/>
  <c r="W49" i="4"/>
  <c r="M51" i="4"/>
  <c r="H52" i="4"/>
  <c r="X52" i="4"/>
  <c r="R18" i="4"/>
  <c r="T18" i="4"/>
  <c r="F13" i="4"/>
  <c r="V13" i="4"/>
  <c r="S17" i="4"/>
  <c r="N18" i="4"/>
  <c r="I19" i="4"/>
  <c r="Y19" i="4"/>
  <c r="O21" i="4"/>
  <c r="J22" i="4"/>
  <c r="R28" i="4"/>
  <c r="O32" i="4"/>
  <c r="J33" i="4"/>
  <c r="E34" i="4"/>
  <c r="U34" i="4"/>
  <c r="K36" i="4"/>
  <c r="F37" i="4"/>
  <c r="V37" i="4"/>
  <c r="F43" i="4"/>
  <c r="H49" i="4"/>
  <c r="I52" i="4"/>
  <c r="S20" i="4" l="1"/>
  <c r="V35" i="4"/>
  <c r="K50" i="4"/>
  <c r="T20" i="4"/>
  <c r="N20" i="4"/>
  <c r="N35" i="4"/>
  <c r="M35" i="4"/>
  <c r="O20" i="4"/>
  <c r="I35" i="4"/>
  <c r="W35" i="4"/>
  <c r="P35" i="4"/>
  <c r="O50" i="4"/>
  <c r="N50" i="4"/>
  <c r="O35" i="4"/>
  <c r="Y35" i="4"/>
  <c r="L35" i="4"/>
  <c r="Q50" i="4"/>
  <c r="P50" i="4"/>
  <c r="X50" i="4"/>
  <c r="R50" i="4"/>
  <c r="H50" i="4"/>
  <c r="Y20" i="4"/>
  <c r="K20" i="4"/>
  <c r="L20" i="4"/>
  <c r="P20" i="4"/>
  <c r="J35" i="4"/>
  <c r="G35" i="4"/>
  <c r="U50" i="4"/>
  <c r="E50" i="4"/>
  <c r="I20" i="4"/>
  <c r="F35" i="4"/>
  <c r="K35" i="4"/>
  <c r="X35" i="4"/>
  <c r="M50" i="4"/>
  <c r="M20" i="4"/>
  <c r="Y50" i="4"/>
  <c r="H35" i="4"/>
  <c r="U35" i="4"/>
  <c r="S35" i="4"/>
  <c r="S50" i="4"/>
  <c r="D50" i="4"/>
  <c r="X20" i="4"/>
  <c r="W20" i="4"/>
  <c r="W50" i="4"/>
  <c r="V20" i="4"/>
  <c r="T50" i="4"/>
  <c r="U20" i="4"/>
  <c r="G50" i="4"/>
  <c r="J20" i="4"/>
  <c r="H20" i="4"/>
  <c r="G20" i="4"/>
  <c r="F20" i="4"/>
  <c r="E20" i="4"/>
  <c r="T35" i="4"/>
  <c r="Q35" i="4"/>
  <c r="J50" i="4"/>
  <c r="I50" i="4"/>
  <c r="V50" i="4"/>
  <c r="R35" i="4"/>
  <c r="F50" i="4"/>
  <c r="F5" i="11"/>
  <c r="A31" i="12" l="1"/>
  <c r="F29" i="12"/>
  <c r="G30" i="12"/>
  <c r="G29" i="12"/>
  <c r="J29" i="12" l="1"/>
  <c r="K29" i="12" s="1"/>
  <c r="J30" i="12" l="1"/>
  <c r="K30" i="12" s="1"/>
  <c r="C22" i="11"/>
  <c r="B22" i="11"/>
  <c r="R32" i="28"/>
  <c r="W31" i="28"/>
  <c r="V31" i="28"/>
  <c r="U31" i="28"/>
  <c r="R31" i="28"/>
  <c r="W30" i="28"/>
  <c r="V30" i="28"/>
  <c r="U30" i="28"/>
  <c r="R30" i="28"/>
  <c r="W29" i="28"/>
  <c r="V29" i="28"/>
  <c r="U29" i="28"/>
  <c r="R29" i="28"/>
  <c r="U28" i="28"/>
  <c r="R28" i="28"/>
  <c r="B106" i="30"/>
  <c r="G105" i="30"/>
  <c r="F105" i="30"/>
  <c r="E105" i="30"/>
  <c r="B105" i="30"/>
  <c r="G104" i="30"/>
  <c r="F104" i="30"/>
  <c r="E104" i="30"/>
  <c r="B104" i="30"/>
  <c r="G103" i="30"/>
  <c r="F103" i="30"/>
  <c r="E103" i="30"/>
  <c r="B103" i="30"/>
  <c r="E102" i="30"/>
  <c r="B102" i="30"/>
  <c r="D39" i="18"/>
  <c r="D38" i="18"/>
  <c r="D37" i="18"/>
  <c r="D36" i="18"/>
  <c r="D35" i="18"/>
  <c r="G38" i="18"/>
  <c r="G37" i="18"/>
  <c r="G36" i="18"/>
  <c r="F35" i="18"/>
  <c r="O91" i="30"/>
  <c r="O81" i="30"/>
  <c r="O90" i="30"/>
  <c r="O89" i="30"/>
  <c r="O80" i="30"/>
  <c r="O79" i="30"/>
  <c r="O88" i="30"/>
  <c r="O87" i="30"/>
  <c r="O78" i="30"/>
  <c r="O86" i="30"/>
  <c r="O77" i="30"/>
  <c r="O93" i="30"/>
  <c r="O85" i="30"/>
  <c r="O76" i="30"/>
  <c r="O92" i="30"/>
  <c r="O84" i="30"/>
  <c r="O75" i="30"/>
  <c r="O83" i="30"/>
  <c r="O74" i="30"/>
  <c r="O73" i="30"/>
  <c r="O82" i="30"/>
  <c r="O72" i="30"/>
  <c r="O58" i="30"/>
  <c r="O48" i="30"/>
  <c r="O57" i="30"/>
  <c r="O56" i="30"/>
  <c r="O47" i="30"/>
  <c r="O46" i="30"/>
  <c r="O55" i="30"/>
  <c r="O54" i="30"/>
  <c r="O45" i="30"/>
  <c r="O53" i="30"/>
  <c r="O44" i="30"/>
  <c r="O60" i="30"/>
  <c r="O52" i="30"/>
  <c r="O43" i="30"/>
  <c r="O59" i="30"/>
  <c r="O51" i="30"/>
  <c r="O42" i="30"/>
  <c r="O50" i="30"/>
  <c r="O41" i="30"/>
  <c r="O40" i="30"/>
  <c r="O49" i="30"/>
  <c r="O39" i="30"/>
  <c r="O25" i="30"/>
  <c r="O15" i="30"/>
  <c r="O24" i="30"/>
  <c r="O23" i="30"/>
  <c r="O14" i="30"/>
  <c r="O13" i="30"/>
  <c r="O22" i="30"/>
  <c r="O21" i="30"/>
  <c r="O12" i="30"/>
  <c r="O20" i="30"/>
  <c r="O11" i="30"/>
  <c r="O27" i="30"/>
  <c r="O19" i="30"/>
  <c r="O10" i="30"/>
  <c r="O26" i="30"/>
  <c r="O18" i="30"/>
  <c r="O9" i="30"/>
  <c r="O17" i="30"/>
  <c r="O8" i="30"/>
  <c r="O7" i="30"/>
  <c r="O16" i="30"/>
  <c r="O6" i="30"/>
  <c r="H38" i="18" l="1"/>
  <c r="H37" i="18"/>
  <c r="H36" i="18"/>
  <c r="K21" i="11" l="1"/>
  <c r="K20" i="11"/>
  <c r="AA60" i="4"/>
  <c r="H33" i="7"/>
  <c r="F38" i="18" l="1"/>
  <c r="F37" i="18"/>
  <c r="E25" i="11"/>
  <c r="D25" i="11"/>
  <c r="C25" i="11"/>
  <c r="B25" i="11"/>
  <c r="D24" i="11"/>
  <c r="E24" i="11"/>
  <c r="C24" i="11"/>
  <c r="B24" i="11"/>
  <c r="E23" i="11"/>
  <c r="C23" i="11"/>
  <c r="D23" i="11"/>
  <c r="F36" i="18" l="1"/>
  <c r="B26" i="11"/>
  <c r="B23" i="11"/>
  <c r="E106" i="30" l="1"/>
  <c r="U32" i="28"/>
  <c r="C26" i="11"/>
  <c r="F39" i="18"/>
  <c r="A28" i="12"/>
  <c r="A27" i="12"/>
  <c r="B26" i="12"/>
  <c r="A26" i="12"/>
  <c r="B25" i="12"/>
  <c r="A25" i="12"/>
  <c r="B24" i="12"/>
  <c r="A24" i="12"/>
  <c r="B23" i="12"/>
  <c r="A23" i="12"/>
  <c r="B22" i="12"/>
  <c r="A22" i="12"/>
  <c r="B21" i="12"/>
  <c r="A21" i="12"/>
  <c r="B20" i="12"/>
  <c r="A20" i="12"/>
  <c r="B19" i="12"/>
  <c r="A19" i="12"/>
  <c r="B18" i="12"/>
  <c r="A18" i="12"/>
  <c r="B17" i="12"/>
  <c r="A17" i="12"/>
  <c r="B16" i="12"/>
  <c r="A16" i="12"/>
  <c r="B15" i="12"/>
  <c r="A15" i="12"/>
  <c r="B14" i="12"/>
  <c r="A14" i="12"/>
  <c r="B13" i="12"/>
  <c r="A13" i="12"/>
  <c r="B12" i="12"/>
  <c r="A12" i="12"/>
  <c r="B11" i="12"/>
  <c r="A11" i="12"/>
  <c r="B10" i="12"/>
  <c r="A10" i="12"/>
  <c r="B9" i="12"/>
  <c r="A9" i="12"/>
  <c r="B8" i="12"/>
  <c r="A8" i="12"/>
  <c r="B7" i="12"/>
  <c r="A7" i="12"/>
  <c r="B6" i="12"/>
  <c r="A6" i="12"/>
  <c r="B5" i="12"/>
  <c r="A5" i="12"/>
  <c r="AC2" i="18" l="1"/>
  <c r="AC19" i="18" s="1"/>
  <c r="AB2" i="18"/>
  <c r="AA2" i="18"/>
  <c r="Z2" i="18"/>
  <c r="Y2" i="18"/>
  <c r="X2" i="18"/>
  <c r="W2" i="18"/>
  <c r="V2" i="18"/>
  <c r="U2" i="18"/>
  <c r="T2" i="18"/>
  <c r="S2" i="18"/>
  <c r="R2" i="18"/>
  <c r="Q2" i="18"/>
  <c r="P2" i="18"/>
  <c r="O2" i="18"/>
  <c r="N2" i="18"/>
  <c r="M2" i="18"/>
  <c r="L2" i="18"/>
  <c r="K2" i="18"/>
  <c r="J2" i="18"/>
  <c r="I2" i="18"/>
  <c r="H2" i="18"/>
  <c r="G2" i="18"/>
  <c r="F2" i="18"/>
  <c r="M9" i="12"/>
  <c r="M8" i="12"/>
  <c r="M7" i="12"/>
  <c r="M6" i="12"/>
  <c r="M5" i="12"/>
  <c r="M10" i="12"/>
  <c r="M11" i="12"/>
  <c r="M12" i="12"/>
  <c r="M13" i="12"/>
  <c r="M14" i="12"/>
  <c r="M15" i="12"/>
  <c r="M16" i="12"/>
  <c r="M17" i="12"/>
  <c r="M18" i="12"/>
  <c r="M19" i="12"/>
  <c r="M20" i="12"/>
  <c r="M21" i="12"/>
  <c r="M22" i="12"/>
  <c r="M23" i="12"/>
  <c r="M24" i="12"/>
  <c r="M25" i="12"/>
  <c r="M26" i="12"/>
  <c r="M27" i="12"/>
  <c r="M28" i="12"/>
  <c r="AB19" i="18" l="1"/>
  <c r="F3" i="18"/>
  <c r="F19" i="18"/>
  <c r="Q3" i="18"/>
  <c r="Q19" i="18"/>
  <c r="T3" i="18"/>
  <c r="T19" i="18"/>
  <c r="Y3" i="18"/>
  <c r="Y19" i="18"/>
  <c r="R3" i="18"/>
  <c r="R19" i="18"/>
  <c r="U3" i="18"/>
  <c r="U19" i="18"/>
  <c r="Z3" i="18"/>
  <c r="Z19" i="18"/>
  <c r="AA3" i="18"/>
  <c r="AA19" i="18"/>
  <c r="N3" i="18"/>
  <c r="N19" i="18"/>
  <c r="S3" i="18"/>
  <c r="S19" i="18"/>
  <c r="V3" i="18"/>
  <c r="V19" i="18"/>
  <c r="W3" i="18"/>
  <c r="W19" i="18"/>
  <c r="X3" i="18"/>
  <c r="X19" i="18"/>
  <c r="K3" i="18"/>
  <c r="K19" i="18"/>
  <c r="L3" i="18"/>
  <c r="L19" i="18"/>
  <c r="O3" i="18"/>
  <c r="O19" i="18"/>
  <c r="G3" i="18"/>
  <c r="G19" i="18"/>
  <c r="H3" i="18"/>
  <c r="H19" i="18"/>
  <c r="I3" i="18"/>
  <c r="I19" i="18"/>
  <c r="J3" i="18"/>
  <c r="J19" i="18"/>
  <c r="M3" i="18"/>
  <c r="M19" i="18"/>
  <c r="P3" i="18"/>
  <c r="P19" i="18"/>
  <c r="A10" i="21"/>
  <c r="M27" i="11"/>
  <c r="O41" i="12"/>
  <c r="J28" i="12"/>
  <c r="AC4" i="18" s="1"/>
  <c r="J27" i="12"/>
  <c r="AB4" i="18" s="1"/>
  <c r="G5" i="4"/>
  <c r="I9" i="18" s="1"/>
  <c r="D5" i="4"/>
  <c r="F9" i="18" s="1"/>
  <c r="D14" i="4" l="1"/>
  <c r="D12" i="4"/>
  <c r="D11" i="4"/>
  <c r="D16" i="4"/>
  <c r="D15" i="4"/>
  <c r="D13" i="4"/>
  <c r="D21" i="4"/>
  <c r="D17" i="4"/>
  <c r="D19" i="4"/>
  <c r="D22" i="4"/>
  <c r="D20" i="4"/>
  <c r="D18" i="4"/>
  <c r="J11" i="12"/>
  <c r="L4" i="18" s="1"/>
  <c r="J10" i="12"/>
  <c r="K4" i="18" s="1"/>
  <c r="J9" i="12"/>
  <c r="J4" i="18" s="1"/>
  <c r="E8" i="18"/>
  <c r="H8" i="18" s="1"/>
  <c r="M8" i="11" l="1"/>
  <c r="V13" i="18"/>
  <c r="L13" i="18"/>
  <c r="I13" i="18"/>
  <c r="G13" i="18"/>
  <c r="K13" i="18"/>
  <c r="J13" i="18"/>
  <c r="H13" i="18"/>
  <c r="AA13" i="18"/>
  <c r="Z13" i="18"/>
  <c r="Y13" i="18"/>
  <c r="X13" i="18"/>
  <c r="F13" i="18"/>
  <c r="W13" i="18"/>
  <c r="U13" i="18"/>
  <c r="T13" i="18"/>
  <c r="S13" i="18"/>
  <c r="P13" i="18"/>
  <c r="R13" i="18"/>
  <c r="Q13" i="18"/>
  <c r="O13" i="18"/>
  <c r="N13" i="18"/>
  <c r="M13" i="18"/>
  <c r="D5" i="11"/>
  <c r="D7" i="11" s="1"/>
  <c r="F13" i="21"/>
  <c r="G12" i="18"/>
  <c r="L12" i="18"/>
  <c r="AA12" i="18"/>
  <c r="K12" i="18"/>
  <c r="Z12" i="18"/>
  <c r="J12" i="18"/>
  <c r="Y12" i="18"/>
  <c r="I12" i="18"/>
  <c r="X12" i="18"/>
  <c r="H12" i="18"/>
  <c r="W12" i="18"/>
  <c r="V12" i="18"/>
  <c r="F12" i="18"/>
  <c r="U12" i="18"/>
  <c r="T12" i="18"/>
  <c r="S12" i="18"/>
  <c r="R12" i="18"/>
  <c r="Q12" i="18"/>
  <c r="P12" i="18"/>
  <c r="O12" i="18"/>
  <c r="N12" i="18"/>
  <c r="M12" i="18"/>
  <c r="Y7" i="4"/>
  <c r="AA10" i="18" s="1"/>
  <c r="X7" i="4"/>
  <c r="Z10" i="18" s="1"/>
  <c r="W7" i="4"/>
  <c r="Y10" i="18" s="1"/>
  <c r="V7" i="4"/>
  <c r="X10" i="18" s="1"/>
  <c r="U7" i="4"/>
  <c r="W10" i="18" s="1"/>
  <c r="T7" i="4"/>
  <c r="V10" i="18" s="1"/>
  <c r="S7" i="4"/>
  <c r="U10" i="18" s="1"/>
  <c r="R7" i="4"/>
  <c r="T10" i="18" s="1"/>
  <c r="Q7" i="4"/>
  <c r="S10" i="18" s="1"/>
  <c r="P7" i="4"/>
  <c r="R10" i="18" s="1"/>
  <c r="O7" i="4"/>
  <c r="Q10" i="18" s="1"/>
  <c r="N7" i="4"/>
  <c r="P10" i="18" s="1"/>
  <c r="M7" i="4"/>
  <c r="O10" i="18" s="1"/>
  <c r="L7" i="4"/>
  <c r="N10" i="18" s="1"/>
  <c r="K7" i="4"/>
  <c r="M10" i="18" s="1"/>
  <c r="J7" i="4"/>
  <c r="L10" i="18" s="1"/>
  <c r="I7" i="4"/>
  <c r="K10" i="18" s="1"/>
  <c r="H7" i="4"/>
  <c r="J10" i="18" s="1"/>
  <c r="G7" i="4"/>
  <c r="I10" i="18" s="1"/>
  <c r="I15" i="18" s="1"/>
  <c r="F7" i="4"/>
  <c r="H10" i="18" s="1"/>
  <c r="F15" i="18"/>
  <c r="E7" i="4"/>
  <c r="G10" i="18" s="1"/>
  <c r="Y6" i="4"/>
  <c r="X6" i="4"/>
  <c r="W6" i="4"/>
  <c r="V6" i="4"/>
  <c r="U6" i="4"/>
  <c r="T6" i="4"/>
  <c r="S6" i="4"/>
  <c r="R6" i="4"/>
  <c r="Q6" i="4"/>
  <c r="P6" i="4"/>
  <c r="O6" i="4"/>
  <c r="N6" i="4"/>
  <c r="M6" i="4"/>
  <c r="L6" i="4"/>
  <c r="K6" i="4"/>
  <c r="J6" i="4"/>
  <c r="I6" i="4"/>
  <c r="H6" i="4"/>
  <c r="G6" i="4"/>
  <c r="F6" i="4"/>
  <c r="E6" i="4"/>
  <c r="Y5" i="4"/>
  <c r="AA9" i="18" s="1"/>
  <c r="X5" i="4"/>
  <c r="Z9" i="18" s="1"/>
  <c r="W5" i="4"/>
  <c r="Y9" i="18" s="1"/>
  <c r="V5" i="4"/>
  <c r="X9" i="18" s="1"/>
  <c r="U5" i="4"/>
  <c r="W9" i="18" s="1"/>
  <c r="T5" i="4"/>
  <c r="V9" i="18" s="1"/>
  <c r="S5" i="4"/>
  <c r="U9" i="18" s="1"/>
  <c r="R5" i="4"/>
  <c r="T9" i="18" s="1"/>
  <c r="Q5" i="4"/>
  <c r="S9" i="18" s="1"/>
  <c r="P5" i="4"/>
  <c r="R9" i="18" s="1"/>
  <c r="O5" i="4"/>
  <c r="Q9" i="18" s="1"/>
  <c r="N5" i="4"/>
  <c r="P9" i="18" s="1"/>
  <c r="M5" i="4"/>
  <c r="O9" i="18" s="1"/>
  <c r="L5" i="4"/>
  <c r="N9" i="18" s="1"/>
  <c r="K5" i="4"/>
  <c r="M9" i="18" s="1"/>
  <c r="J5" i="4"/>
  <c r="L9" i="18" s="1"/>
  <c r="I5" i="4"/>
  <c r="K9" i="18" s="1"/>
  <c r="H5" i="4"/>
  <c r="J9" i="18" s="1"/>
  <c r="F5" i="4"/>
  <c r="H9" i="18" s="1"/>
  <c r="E5" i="4"/>
  <c r="G9" i="18" s="1"/>
  <c r="F20" i="11" l="1"/>
  <c r="F21" i="11"/>
  <c r="S16" i="18"/>
  <c r="T16" i="18"/>
  <c r="W16" i="18"/>
  <c r="U16" i="18"/>
  <c r="X16" i="18"/>
  <c r="AA16" i="18"/>
  <c r="F16" i="18"/>
  <c r="Z16" i="18"/>
  <c r="H16" i="18"/>
  <c r="Y16" i="18"/>
  <c r="M16" i="18"/>
  <c r="J16" i="18"/>
  <c r="N16" i="18"/>
  <c r="K16" i="18"/>
  <c r="G16" i="18"/>
  <c r="I16" i="18"/>
  <c r="Q16" i="18"/>
  <c r="R16" i="18"/>
  <c r="L16" i="18"/>
  <c r="O16" i="18"/>
  <c r="P16" i="18"/>
  <c r="V16" i="18"/>
  <c r="H15" i="18"/>
  <c r="K15" i="18"/>
  <c r="S15" i="18"/>
  <c r="G15" i="18"/>
  <c r="W15" i="18"/>
  <c r="X15" i="18"/>
  <c r="Y15" i="18"/>
  <c r="J15" i="18"/>
  <c r="Z15" i="18"/>
  <c r="T15" i="18"/>
  <c r="V15" i="18"/>
  <c r="AA15" i="18"/>
  <c r="N15" i="18"/>
  <c r="U15" i="18"/>
  <c r="L15" i="18"/>
  <c r="M15" i="18"/>
  <c r="O15" i="18"/>
  <c r="P15" i="18"/>
  <c r="Q15" i="18"/>
  <c r="R15" i="18"/>
  <c r="J6" i="12"/>
  <c r="G4" i="18" s="1"/>
  <c r="J7" i="12"/>
  <c r="H4" i="18" s="1"/>
  <c r="J5" i="12"/>
  <c r="J8" i="12"/>
  <c r="I4" i="18" s="1"/>
  <c r="K10" i="12"/>
  <c r="K5" i="18" s="1"/>
  <c r="K11" i="12"/>
  <c r="L5" i="18" s="1"/>
  <c r="J12" i="12"/>
  <c r="M4" i="18" s="1"/>
  <c r="J13" i="12"/>
  <c r="J14" i="12"/>
  <c r="J15" i="12"/>
  <c r="J16" i="12"/>
  <c r="J17" i="12"/>
  <c r="J18" i="12"/>
  <c r="J19" i="12"/>
  <c r="J20" i="12"/>
  <c r="J21" i="12"/>
  <c r="J22" i="12"/>
  <c r="J23" i="12"/>
  <c r="J24" i="12"/>
  <c r="J25" i="12"/>
  <c r="Z4" i="18" s="1"/>
  <c r="J26" i="12"/>
  <c r="K27" i="12"/>
  <c r="K28" i="12"/>
  <c r="K18" i="12" l="1"/>
  <c r="S5" i="18" s="1"/>
  <c r="S4" i="18"/>
  <c r="K13" i="12"/>
  <c r="N5" i="18" s="1"/>
  <c r="N4" i="18"/>
  <c r="K15" i="12"/>
  <c r="P5" i="18" s="1"/>
  <c r="P4" i="18"/>
  <c r="K5" i="12"/>
  <c r="F5" i="18" s="1"/>
  <c r="F4" i="18"/>
  <c r="K16" i="12"/>
  <c r="Q5" i="18" s="1"/>
  <c r="Q4" i="18"/>
  <c r="K22" i="12"/>
  <c r="W5" i="18" s="1"/>
  <c r="W4" i="18"/>
  <c r="K21" i="12"/>
  <c r="V5" i="18" s="1"/>
  <c r="V4" i="18"/>
  <c r="K20" i="12"/>
  <c r="U5" i="18" s="1"/>
  <c r="U4" i="18"/>
  <c r="K17" i="12"/>
  <c r="R5" i="18" s="1"/>
  <c r="R4" i="18"/>
  <c r="K14" i="12"/>
  <c r="O5" i="18" s="1"/>
  <c r="O4" i="18"/>
  <c r="K24" i="12"/>
  <c r="Y5" i="18" s="1"/>
  <c r="Y4" i="18"/>
  <c r="K23" i="12"/>
  <c r="X5" i="18" s="1"/>
  <c r="X4" i="18"/>
  <c r="K19" i="12"/>
  <c r="T5" i="18" s="1"/>
  <c r="T4" i="18"/>
  <c r="AC5" i="18"/>
  <c r="AC1" i="18" s="1"/>
  <c r="K26" i="12"/>
  <c r="AA5" i="18" s="1"/>
  <c r="AA4" i="18"/>
  <c r="AB5" i="18"/>
  <c r="AB1" i="18" s="1"/>
  <c r="K25" i="12"/>
  <c r="Z5" i="18" s="1"/>
  <c r="K8" i="12"/>
  <c r="I5" i="18" s="1"/>
  <c r="K7" i="12"/>
  <c r="H5" i="18" s="1"/>
  <c r="K6" i="12"/>
  <c r="G5" i="18" s="1"/>
  <c r="K1" i="18"/>
  <c r="K9" i="12"/>
  <c r="J5" i="18" s="1"/>
  <c r="K12" i="12"/>
  <c r="M5" i="18" s="1"/>
  <c r="L1" i="18"/>
  <c r="F6" i="18" l="1"/>
  <c r="O1" i="18"/>
  <c r="U1" i="18"/>
  <c r="N1" i="18"/>
  <c r="V1" i="18"/>
  <c r="W1" i="18"/>
  <c r="X1" i="18"/>
  <c r="AA1" i="18"/>
  <c r="R1" i="18"/>
  <c r="Z1" i="18"/>
  <c r="H1" i="18"/>
  <c r="S1" i="18"/>
  <c r="T1" i="18"/>
  <c r="P1" i="18"/>
  <c r="Q1" i="18"/>
  <c r="Y1" i="18"/>
  <c r="F1" i="18"/>
  <c r="G1" i="18"/>
  <c r="M1" i="18"/>
  <c r="J1" i="18"/>
  <c r="I1" i="18"/>
  <c r="F7" i="11" l="1"/>
  <c r="L31" i="12" s="1"/>
  <c r="T23" i="28" l="1"/>
  <c r="U35" i="18"/>
  <c r="M102" i="30"/>
  <c r="M5" i="11"/>
  <c r="M9" i="11"/>
  <c r="E5" i="11"/>
  <c r="E7" i="11" s="1"/>
  <c r="M4" i="11" l="1"/>
  <c r="J7" i="11"/>
  <c r="G5" i="11" s="1"/>
  <c r="G7" i="11" l="1"/>
  <c r="M6" i="11" s="1"/>
  <c r="D1" i="11"/>
  <c r="H7" i="11" l="1"/>
  <c r="K7" i="11" s="1"/>
  <c r="D8" i="11" l="1"/>
  <c r="I17" i="11"/>
  <c r="J17" i="11"/>
  <c r="F16" i="21"/>
  <c r="I7" i="11"/>
  <c r="M7" i="11" s="1"/>
  <c r="E16" i="21"/>
  <c r="E13" i="11"/>
  <c r="E19" i="11" l="1"/>
  <c r="E14" i="11" l="1"/>
  <c r="E15" i="11" s="1"/>
  <c r="E18" i="11" s="1"/>
  <c r="E17" i="11" l="1"/>
  <c r="E16" i="11"/>
  <c r="Z80" i="18" l="1"/>
  <c r="Z17" i="18" s="1"/>
  <c r="N80" i="18"/>
  <c r="N17" i="18" s="1"/>
  <c r="AA80" i="18"/>
  <c r="AA17" i="18" s="1"/>
  <c r="F80" i="18"/>
  <c r="K80" i="18"/>
  <c r="K17" i="18" s="1"/>
  <c r="L80" i="18"/>
  <c r="L17" i="18" s="1"/>
  <c r="T80" i="18"/>
  <c r="T17" i="18" s="1"/>
  <c r="S80" i="18"/>
  <c r="S17" i="18" s="1"/>
  <c r="P80" i="18"/>
  <c r="P17" i="18" s="1"/>
  <c r="J80" i="18"/>
  <c r="J17" i="18" s="1"/>
  <c r="Y80" i="18"/>
  <c r="Y17" i="18" s="1"/>
  <c r="G80" i="18"/>
  <c r="G17" i="18" s="1"/>
  <c r="W80" i="18"/>
  <c r="W17" i="18" s="1"/>
  <c r="U80" i="18"/>
  <c r="U17" i="18" s="1"/>
  <c r="H80" i="18"/>
  <c r="H17" i="18" s="1"/>
  <c r="R80" i="18"/>
  <c r="R17" i="18" s="1"/>
  <c r="V80" i="18"/>
  <c r="V17" i="18" s="1"/>
  <c r="I80" i="18"/>
  <c r="I17" i="18" s="1"/>
  <c r="O80" i="18"/>
  <c r="O17" i="18" s="1"/>
  <c r="X80" i="18"/>
  <c r="X17" i="18" s="1"/>
  <c r="Q80" i="18"/>
  <c r="Q17" i="18" s="1"/>
  <c r="M80" i="18"/>
  <c r="M17" i="18" s="1"/>
  <c r="F17" i="18" l="1"/>
  <c r="AA21" i="18" l="1"/>
  <c r="AA25" i="18" s="1"/>
  <c r="AA20" i="18" s="1"/>
  <c r="N26" i="12" s="1"/>
  <c r="Z21" i="18" l="1"/>
  <c r="Z25" i="18" s="1"/>
  <c r="Z20" i="18" s="1"/>
  <c r="N25" i="12" s="1"/>
  <c r="U21" i="18"/>
  <c r="U25" i="18" s="1"/>
  <c r="U20" i="18" s="1"/>
  <c r="N20" i="12" s="1"/>
  <c r="AA26" i="18"/>
  <c r="AA31" i="18" s="1"/>
  <c r="P25" i="30"/>
  <c r="O26" i="12"/>
  <c r="AA22" i="18"/>
  <c r="P58" i="30" l="1"/>
  <c r="AA27" i="18"/>
  <c r="P22" i="30"/>
  <c r="U22" i="18"/>
  <c r="U26" i="18"/>
  <c r="O20" i="12"/>
  <c r="Z26" i="18"/>
  <c r="Z22" i="18"/>
  <c r="O25" i="12"/>
  <c r="P15" i="30"/>
  <c r="Z27" i="18" l="1"/>
  <c r="Z32" i="18" s="1"/>
  <c r="P48" i="30"/>
  <c r="U31" i="18"/>
  <c r="Z31" i="18"/>
  <c r="U27" i="18"/>
  <c r="U32" i="18" s="1"/>
  <c r="P55" i="30"/>
  <c r="AA32" i="18"/>
  <c r="AA23" i="18"/>
  <c r="Z23" i="18" l="1"/>
  <c r="Z28" i="18" s="1"/>
  <c r="Z33" i="18" s="1"/>
  <c r="Z30" i="18" s="1"/>
  <c r="AA28" i="18"/>
  <c r="AA33" i="18" s="1"/>
  <c r="AA30" i="18" s="1"/>
  <c r="P91" i="30"/>
  <c r="U23" i="18"/>
  <c r="P81" i="30" l="1"/>
  <c r="P88" i="30"/>
  <c r="U28" i="18"/>
  <c r="U33" i="18" s="1"/>
  <c r="U30" i="18" s="1"/>
  <c r="Y21" i="18" l="1"/>
  <c r="Y25" i="18" s="1"/>
  <c r="Y20" i="18" s="1"/>
  <c r="N24" i="12" s="1"/>
  <c r="Y22" i="18" l="1"/>
  <c r="Y26" i="18"/>
  <c r="P24" i="30"/>
  <c r="O24" i="12"/>
  <c r="Y31" i="18" l="1"/>
  <c r="P57" i="30"/>
  <c r="Y27" i="18"/>
  <c r="Y32" i="18" s="1"/>
  <c r="Y23" i="18" l="1"/>
  <c r="P90" i="30" l="1"/>
  <c r="Y28" i="18"/>
  <c r="Y33" i="18" s="1"/>
  <c r="Y30" i="18" s="1"/>
  <c r="J21" i="18"/>
  <c r="J25" i="18" s="1"/>
  <c r="J20" i="18" s="1"/>
  <c r="N9" i="12" s="1"/>
  <c r="J22" i="18" l="1"/>
  <c r="O9" i="12"/>
  <c r="P17" i="30"/>
  <c r="J26" i="18"/>
  <c r="J31" i="18" s="1"/>
  <c r="P50" i="30" l="1"/>
  <c r="J27" i="18"/>
  <c r="J23" i="18" l="1"/>
  <c r="J32" i="18"/>
  <c r="P83" i="30" l="1"/>
  <c r="J28" i="18"/>
  <c r="J33" i="18" s="1"/>
  <c r="J30" i="18" s="1"/>
  <c r="P21" i="18" l="1"/>
  <c r="P25" i="18" s="1"/>
  <c r="P20" i="18" s="1"/>
  <c r="N15" i="12" s="1"/>
  <c r="O15" i="12" l="1"/>
  <c r="P26" i="18"/>
  <c r="P22" i="18"/>
  <c r="P27" i="30"/>
  <c r="P60" i="30" l="1"/>
  <c r="P27" i="18"/>
  <c r="P32" i="18" s="1"/>
  <c r="P31" i="18"/>
  <c r="P23" i="18"/>
  <c r="Q23" i="18" l="1"/>
  <c r="P93" i="30"/>
  <c r="P28" i="18"/>
  <c r="P33" i="18" s="1"/>
  <c r="P30" i="18" s="1"/>
  <c r="G23" i="18" l="1"/>
  <c r="G28" i="18" s="1"/>
  <c r="P77" i="30"/>
  <c r="Q28" i="18"/>
  <c r="P82" i="30" l="1"/>
  <c r="N21" i="18" l="1"/>
  <c r="N25" i="18" l="1"/>
  <c r="N20" i="18" s="1"/>
  <c r="N13" i="12" s="1"/>
  <c r="N22" i="18"/>
  <c r="N27" i="18" s="1"/>
  <c r="T23" i="18"/>
  <c r="T28" i="18" s="1"/>
  <c r="N26" i="18"/>
  <c r="N31" i="18" s="1"/>
  <c r="O13" i="12"/>
  <c r="P10" i="30"/>
  <c r="V23" i="18"/>
  <c r="S23" i="18" l="1"/>
  <c r="S28" i="18" s="1"/>
  <c r="P43" i="30"/>
  <c r="P87" i="30"/>
  <c r="R23" i="18"/>
  <c r="P86" i="30" s="1"/>
  <c r="W23" i="18"/>
  <c r="W28" i="18" s="1"/>
  <c r="P79" i="30"/>
  <c r="V28" i="18"/>
  <c r="X23" i="18"/>
  <c r="N32" i="18"/>
  <c r="N23" i="18"/>
  <c r="P78" i="30" l="1"/>
  <c r="P80" i="30"/>
  <c r="R28" i="18"/>
  <c r="P76" i="30"/>
  <c r="N28" i="18"/>
  <c r="N33" i="18" s="1"/>
  <c r="N30" i="18" s="1"/>
  <c r="X28" i="18"/>
  <c r="P89" i="30"/>
  <c r="F21" i="18" l="1"/>
  <c r="F25" i="18" s="1"/>
  <c r="F22" i="18"/>
  <c r="P39" i="30" s="1"/>
  <c r="K21" i="18"/>
  <c r="K25" i="18" s="1"/>
  <c r="Q21" i="18"/>
  <c r="Q22" i="18" s="1"/>
  <c r="S21" i="18"/>
  <c r="O18" i="12" s="1"/>
  <c r="V21" i="18"/>
  <c r="O21" i="12" s="1"/>
  <c r="V22" i="18"/>
  <c r="P46" i="30" s="1"/>
  <c r="W21" i="18"/>
  <c r="P14" i="30" s="1"/>
  <c r="G21" i="18"/>
  <c r="G22" i="18" s="1"/>
  <c r="O21" i="18"/>
  <c r="O22" i="18" s="1"/>
  <c r="R21" i="18"/>
  <c r="R22" i="18" s="1"/>
  <c r="T21" i="18"/>
  <c r="O19" i="12" s="1"/>
  <c r="T22" i="18"/>
  <c r="T27" i="18" s="1"/>
  <c r="X21" i="18"/>
  <c r="X25" i="18" s="1"/>
  <c r="X20" i="18" s="1"/>
  <c r="N23" i="12" s="1"/>
  <c r="X22" i="18"/>
  <c r="X27" i="18" s="1"/>
  <c r="X32" i="18" s="1"/>
  <c r="X33" i="18" s="1"/>
  <c r="G25" i="18"/>
  <c r="G20" i="18"/>
  <c r="N6" i="12" s="1"/>
  <c r="I25" i="18"/>
  <c r="T25" i="18"/>
  <c r="T20" i="18"/>
  <c r="N19" i="12" s="1"/>
  <c r="V25" i="18"/>
  <c r="V20" i="18"/>
  <c r="N21" i="12" s="1"/>
  <c r="F23" i="18"/>
  <c r="F28" i="18" s="1"/>
  <c r="W26" i="18"/>
  <c r="V26" i="18"/>
  <c r="V31" i="18"/>
  <c r="V30" i="18"/>
  <c r="V27" i="18"/>
  <c r="V32" i="18"/>
  <c r="V33" i="18" s="1"/>
  <c r="S26" i="18"/>
  <c r="F26" i="18"/>
  <c r="F27" i="18"/>
  <c r="T26" i="18"/>
  <c r="G26" i="18"/>
  <c r="G31" i="18" s="1"/>
  <c r="G30" i="18" s="1"/>
  <c r="O25" i="18" l="1"/>
  <c r="P19" i="30"/>
  <c r="I20" i="18"/>
  <c r="N8" i="12" s="1"/>
  <c r="K22" i="18"/>
  <c r="K27" i="18" s="1"/>
  <c r="K32" i="18" s="1"/>
  <c r="K26" i="18"/>
  <c r="I21" i="18"/>
  <c r="P8" i="30" s="1"/>
  <c r="O14" i="12"/>
  <c r="O6" i="12"/>
  <c r="P16" i="30"/>
  <c r="P23" i="30"/>
  <c r="P21" i="30"/>
  <c r="O22" i="12"/>
  <c r="P56" i="30"/>
  <c r="P6" i="30"/>
  <c r="P72" i="30"/>
  <c r="P42" i="30"/>
  <c r="P13" i="30"/>
  <c r="O5" i="12"/>
  <c r="F31" i="18"/>
  <c r="F30" i="18" s="1"/>
  <c r="F20" i="18"/>
  <c r="S22" i="18"/>
  <c r="M25" i="18"/>
  <c r="T32" i="18"/>
  <c r="T33" i="18" s="1"/>
  <c r="P12" i="30"/>
  <c r="O23" i="12"/>
  <c r="S25" i="18"/>
  <c r="S20" i="18" s="1"/>
  <c r="N18" i="12" s="1"/>
  <c r="T31" i="18"/>
  <c r="T30" i="18" s="1"/>
  <c r="F32" i="18"/>
  <c r="F33" i="18" s="1"/>
  <c r="O26" i="18"/>
  <c r="O31" i="18" s="1"/>
  <c r="X26" i="18"/>
  <c r="X31" i="18" s="1"/>
  <c r="X30" i="18" s="1"/>
  <c r="O10" i="12"/>
  <c r="G27" i="18"/>
  <c r="G32" i="18" s="1"/>
  <c r="G33" i="18" s="1"/>
  <c r="P49" i="30"/>
  <c r="K20" i="18"/>
  <c r="N10" i="12" s="1"/>
  <c r="K31" i="18"/>
  <c r="P53" i="30"/>
  <c r="R27" i="18"/>
  <c r="R32" i="18" s="1"/>
  <c r="R33" i="18" s="1"/>
  <c r="P52" i="30"/>
  <c r="O27" i="18"/>
  <c r="O32" i="18" s="1"/>
  <c r="L20" i="18"/>
  <c r="P44" i="30"/>
  <c r="Q27" i="18"/>
  <c r="R25" i="18"/>
  <c r="R20" i="18" s="1"/>
  <c r="N17" i="12" s="1"/>
  <c r="Q26" i="18"/>
  <c r="R26" i="18"/>
  <c r="R31" i="18" s="1"/>
  <c r="R30" i="18" s="1"/>
  <c r="P20" i="30"/>
  <c r="Q25" i="18"/>
  <c r="Q20" i="18" s="1"/>
  <c r="N16" i="12" s="1"/>
  <c r="W25" i="18"/>
  <c r="P54" i="30"/>
  <c r="W22" i="18"/>
  <c r="O17" i="12"/>
  <c r="O16" i="12"/>
  <c r="P11" i="30"/>
  <c r="P9" i="30"/>
  <c r="O20" i="18" l="1"/>
  <c r="N14" i="12" s="1"/>
  <c r="O23" i="18"/>
  <c r="M20" i="18"/>
  <c r="N12" i="12" s="1"/>
  <c r="M21" i="18"/>
  <c r="O8" i="12"/>
  <c r="K23" i="18"/>
  <c r="K28" i="18" s="1"/>
  <c r="K33" i="18" s="1"/>
  <c r="K30" i="18" s="1"/>
  <c r="I22" i="18"/>
  <c r="I26" i="18"/>
  <c r="P45" i="30"/>
  <c r="S27" i="18"/>
  <c r="S32" i="18" s="1"/>
  <c r="S33" i="18" s="1"/>
  <c r="S31" i="18"/>
  <c r="S30" i="18" s="1"/>
  <c r="N5" i="12"/>
  <c r="Q32" i="18"/>
  <c r="Q33" i="18" s="1"/>
  <c r="W27" i="18"/>
  <c r="W32" i="18" s="1"/>
  <c r="W33" i="18" s="1"/>
  <c r="P47" i="30"/>
  <c r="W31" i="18"/>
  <c r="W30" i="18" s="1"/>
  <c r="W20" i="18"/>
  <c r="N22" i="12" s="1"/>
  <c r="N11" i="12"/>
  <c r="N27" i="12" s="1"/>
  <c r="AB20" i="18"/>
  <c r="Q31" i="18"/>
  <c r="Q30" i="18" s="1"/>
  <c r="P85" i="30" l="1"/>
  <c r="O28" i="18"/>
  <c r="O33" i="18" s="1"/>
  <c r="O30" i="18" s="1"/>
  <c r="O12" i="12"/>
  <c r="M26" i="18"/>
  <c r="M22" i="18"/>
  <c r="P26" i="30"/>
  <c r="P75" i="30"/>
  <c r="I31" i="18"/>
  <c r="P41" i="30"/>
  <c r="I27" i="18"/>
  <c r="I32" i="18" s="1"/>
  <c r="H20" i="18"/>
  <c r="AC20" i="18" s="1"/>
  <c r="H25" i="18"/>
  <c r="M31" i="18" l="1"/>
  <c r="P59" i="30"/>
  <c r="M27" i="18"/>
  <c r="M32" i="18" s="1"/>
  <c r="H21" i="18"/>
  <c r="O7" i="12" s="1"/>
  <c r="I23" i="18"/>
  <c r="N7" i="12"/>
  <c r="N28" i="12" s="1"/>
  <c r="P7" i="30"/>
  <c r="H26" i="18"/>
  <c r="M23" i="18" l="1"/>
  <c r="H22" i="18"/>
  <c r="P74" i="30"/>
  <c r="I28" i="18"/>
  <c r="I33" i="18"/>
  <c r="I30" i="18" s="1"/>
  <c r="H31" i="18"/>
  <c r="P40" i="30"/>
  <c r="H27" i="18"/>
  <c r="H23" i="18" s="1"/>
  <c r="P92" i="30" l="1"/>
  <c r="M28" i="18"/>
  <c r="M33" i="18" s="1"/>
  <c r="M30" i="18" s="1"/>
  <c r="H28" i="18"/>
  <c r="P73" i="30"/>
  <c r="H32" i="18"/>
  <c r="H33" i="18" s="1"/>
  <c r="H30" i="18" s="1"/>
  <c r="L25" i="18"/>
  <c r="L21" i="18" l="1"/>
  <c r="AC25" i="18"/>
  <c r="AB25" i="18"/>
  <c r="O11" i="12"/>
  <c r="AC21" i="18"/>
  <c r="AB21" i="18"/>
  <c r="P18" i="30"/>
  <c r="L26" i="18"/>
  <c r="L22" i="18"/>
  <c r="P29" i="30" l="1"/>
  <c r="P28" i="30"/>
  <c r="P51" i="30"/>
  <c r="AB22" i="18"/>
  <c r="L27" i="18"/>
  <c r="L23" i="18" s="1"/>
  <c r="AC22" i="18"/>
  <c r="AC26" i="18"/>
  <c r="AB26" i="18"/>
  <c r="L31" i="18"/>
  <c r="O28" i="12"/>
  <c r="O27" i="12"/>
  <c r="L28" i="18" l="1"/>
  <c r="P84" i="30"/>
  <c r="AB23" i="18"/>
  <c r="AC23" i="18"/>
  <c r="AC27" i="18"/>
  <c r="AB27" i="18"/>
  <c r="L32" i="18"/>
  <c r="P62" i="30"/>
  <c r="P61" i="30"/>
  <c r="L33" i="18" l="1"/>
  <c r="L30" i="18" s="1"/>
  <c r="P94" i="30"/>
  <c r="P95" i="30"/>
  <c r="AB28" i="18"/>
  <c r="AC28" i="18"/>
</calcChain>
</file>

<file path=xl/sharedStrings.xml><?xml version="1.0" encoding="utf-8"?>
<sst xmlns="http://schemas.openxmlformats.org/spreadsheetml/2006/main" count="960" uniqueCount="446">
  <si>
    <t>PFOS</t>
  </si>
  <si>
    <t>Jordtype</t>
  </si>
  <si>
    <t>Vand</t>
  </si>
  <si>
    <t>Jord</t>
  </si>
  <si>
    <t>w</t>
  </si>
  <si>
    <t>(%)</t>
  </si>
  <si>
    <t>TS</t>
  </si>
  <si>
    <t>PFOA</t>
  </si>
  <si>
    <r>
      <rPr>
        <b/>
        <sz val="13"/>
        <color theme="1"/>
        <rFont val="Symbol"/>
        <family val="1"/>
        <charset val="2"/>
      </rPr>
      <t>r</t>
    </r>
    <r>
      <rPr>
        <b/>
        <vertAlign val="subscript"/>
        <sz val="13"/>
        <color theme="1"/>
        <rFont val="Aptos Narrow"/>
        <family val="2"/>
        <scheme val="minor"/>
      </rPr>
      <t>s</t>
    </r>
  </si>
  <si>
    <t>(µg/kg TS)</t>
  </si>
  <si>
    <t>PFBA</t>
  </si>
  <si>
    <t>PFPeA</t>
  </si>
  <si>
    <t>PFHxA</t>
  </si>
  <si>
    <t>PFHxS</t>
  </si>
  <si>
    <t>PFHpA</t>
  </si>
  <si>
    <t>PFNA</t>
  </si>
  <si>
    <t>kg TS</t>
  </si>
  <si>
    <t>Indtastet</t>
  </si>
  <si>
    <t>Beregnet</t>
  </si>
  <si>
    <t>Egne værdier -&gt;</t>
  </si>
  <si>
    <t>Luftfyldt porehulrum</t>
  </si>
  <si>
    <t>Porøsitet</t>
  </si>
  <si>
    <t>Masse af partikler</t>
  </si>
  <si>
    <t>Masse af vand</t>
  </si>
  <si>
    <t>Knap/valgtabel</t>
  </si>
  <si>
    <t>Sum af påviste PFAS, 22 stoffer</t>
  </si>
  <si>
    <t>Sum af påviste (PFHxS, PFNA, PFOA, PFOS)</t>
  </si>
  <si>
    <t>PFNS</t>
  </si>
  <si>
    <t>PFBS</t>
  </si>
  <si>
    <t>PFDS</t>
  </si>
  <si>
    <t>PFOSA</t>
  </si>
  <si>
    <t>PFHpS</t>
  </si>
  <si>
    <t>PFUnDA</t>
  </si>
  <si>
    <t>PFPeS</t>
  </si>
  <si>
    <t>PFDA</t>
  </si>
  <si>
    <t>PFDoDA</t>
  </si>
  <si>
    <t>PFTrDA</t>
  </si>
  <si>
    <t>PFUnDS</t>
  </si>
  <si>
    <t>PFDoDS</t>
  </si>
  <si>
    <t>PFTrDS</t>
  </si>
  <si>
    <t>Perfluorheptansyre</t>
  </si>
  <si>
    <t>Perfluoroctansyre</t>
  </si>
  <si>
    <t>Perfluornonansyre</t>
  </si>
  <si>
    <t>Perfluornonansulfonsyre</t>
  </si>
  <si>
    <t>Perfluorbutansulfonsyre</t>
  </si>
  <si>
    <t>Perfluorhexansulfonsyre</t>
  </si>
  <si>
    <t>Perfluoroctansulfonsyre</t>
  </si>
  <si>
    <t>Perfluordecansulfonsyre</t>
  </si>
  <si>
    <t>Perfluoroctansulfonamid</t>
  </si>
  <si>
    <t>Perfluorhexansyre</t>
  </si>
  <si>
    <t>Perfluorbutansyre</t>
  </si>
  <si>
    <t>Perfluorheptansulfonsyre</t>
  </si>
  <si>
    <t>Perfluorundecansyre</t>
  </si>
  <si>
    <t>Perfluorpentansyre</t>
  </si>
  <si>
    <t>Perfluorpentansulfonsyre</t>
  </si>
  <si>
    <t>Perfluordecansyre</t>
  </si>
  <si>
    <t>Perfluordodecansyre</t>
  </si>
  <si>
    <t>Perfluortridecansyre</t>
  </si>
  <si>
    <t>Perfluorundecansulfonsyre</t>
  </si>
  <si>
    <t>Perfluordodecansulfonsyre</t>
  </si>
  <si>
    <t>Perfluortridecansulfonsyre</t>
  </si>
  <si>
    <t>6:2 FTS</t>
  </si>
  <si>
    <t>C-atomer</t>
  </si>
  <si>
    <t>(cm)</t>
  </si>
  <si>
    <t>(µg)</t>
  </si>
  <si>
    <t>Forkortelse</t>
  </si>
  <si>
    <t>6:2 fluortelomersulfonsyre</t>
  </si>
  <si>
    <r>
      <t>(L</t>
    </r>
    <r>
      <rPr>
        <vertAlign val="subscript"/>
        <sz val="12"/>
        <color theme="1"/>
        <rFont val="Aptos Narrow"/>
        <family val="2"/>
        <scheme val="minor"/>
      </rPr>
      <t>w</t>
    </r>
    <r>
      <rPr>
        <sz val="12"/>
        <color theme="1"/>
        <rFont val="Aptos Narrow"/>
        <family val="2"/>
        <scheme val="minor"/>
      </rPr>
      <t>/kg TS)</t>
    </r>
  </si>
  <si>
    <r>
      <t>(µg/dm</t>
    </r>
    <r>
      <rPr>
        <vertAlign val="superscript"/>
        <sz val="12"/>
        <color theme="1"/>
        <rFont val="Aptos Narrow"/>
        <family val="2"/>
        <scheme val="minor"/>
      </rPr>
      <t>2</t>
    </r>
    <r>
      <rPr>
        <sz val="12"/>
        <color theme="1"/>
        <rFont val="Aptos Narrow"/>
        <family val="2"/>
        <scheme val="minor"/>
      </rPr>
      <t>)</t>
    </r>
  </si>
  <si>
    <r>
      <t>C</t>
    </r>
    <r>
      <rPr>
        <b/>
        <vertAlign val="subscript"/>
        <sz val="12"/>
        <color theme="1"/>
        <rFont val="Aptos Narrow"/>
        <family val="2"/>
        <scheme val="minor"/>
      </rPr>
      <t>t</t>
    </r>
  </si>
  <si>
    <r>
      <t>M</t>
    </r>
    <r>
      <rPr>
        <b/>
        <vertAlign val="subscript"/>
        <sz val="12"/>
        <color theme="1"/>
        <rFont val="Aptos Narrow"/>
        <family val="2"/>
        <scheme val="minor"/>
      </rPr>
      <t>t</t>
    </r>
  </si>
  <si>
    <r>
      <t>C</t>
    </r>
    <r>
      <rPr>
        <b/>
        <vertAlign val="subscript"/>
        <sz val="12"/>
        <color theme="1"/>
        <rFont val="Aptos Narrow"/>
        <family val="2"/>
        <scheme val="minor"/>
      </rPr>
      <t>w</t>
    </r>
  </si>
  <si>
    <r>
      <t>M</t>
    </r>
    <r>
      <rPr>
        <b/>
        <vertAlign val="subscript"/>
        <sz val="12"/>
        <color theme="1"/>
        <rFont val="Aptos Narrow"/>
        <family val="2"/>
        <scheme val="minor"/>
      </rPr>
      <t>w</t>
    </r>
  </si>
  <si>
    <r>
      <t>C</t>
    </r>
    <r>
      <rPr>
        <b/>
        <vertAlign val="subscript"/>
        <sz val="12"/>
        <color theme="1"/>
        <rFont val="Aptos Narrow"/>
        <family val="2"/>
        <scheme val="minor"/>
      </rPr>
      <t>s</t>
    </r>
  </si>
  <si>
    <r>
      <t>C</t>
    </r>
    <r>
      <rPr>
        <b/>
        <vertAlign val="subscript"/>
        <sz val="12"/>
        <color theme="1"/>
        <rFont val="Aptos Narrow"/>
        <family val="2"/>
        <scheme val="minor"/>
      </rPr>
      <t>ia</t>
    </r>
  </si>
  <si>
    <r>
      <t>M</t>
    </r>
    <r>
      <rPr>
        <b/>
        <vertAlign val="subscript"/>
        <sz val="12"/>
        <color theme="1"/>
        <rFont val="Aptos Narrow"/>
        <family val="2"/>
        <scheme val="minor"/>
      </rPr>
      <t>ia</t>
    </r>
  </si>
  <si>
    <r>
      <t>f</t>
    </r>
    <r>
      <rPr>
        <b/>
        <vertAlign val="subscript"/>
        <sz val="12"/>
        <color theme="1"/>
        <rFont val="Aptos Narrow"/>
        <family val="2"/>
        <scheme val="minor"/>
      </rPr>
      <t>w</t>
    </r>
  </si>
  <si>
    <r>
      <t>f</t>
    </r>
    <r>
      <rPr>
        <b/>
        <vertAlign val="subscript"/>
        <sz val="12"/>
        <color theme="1"/>
        <rFont val="Aptos Narrow"/>
        <family val="2"/>
        <scheme val="minor"/>
      </rPr>
      <t>s</t>
    </r>
  </si>
  <si>
    <r>
      <t>K</t>
    </r>
    <r>
      <rPr>
        <b/>
        <vertAlign val="subscript"/>
        <sz val="12"/>
        <color theme="1"/>
        <rFont val="Aptos Narrow"/>
        <family val="2"/>
        <scheme val="minor"/>
      </rPr>
      <t>d</t>
    </r>
  </si>
  <si>
    <r>
      <t>K</t>
    </r>
    <r>
      <rPr>
        <b/>
        <vertAlign val="subscript"/>
        <sz val="12"/>
        <color theme="1"/>
        <rFont val="Aptos Narrow"/>
        <family val="2"/>
        <scheme val="minor"/>
      </rPr>
      <t>ia</t>
    </r>
  </si>
  <si>
    <r>
      <t>Konc. fra jordprøve (C</t>
    </r>
    <r>
      <rPr>
        <b/>
        <vertAlign val="subscript"/>
        <sz val="13"/>
        <color theme="1"/>
        <rFont val="Aptos Narrow"/>
        <family val="2"/>
        <scheme val="minor"/>
      </rPr>
      <t>t</t>
    </r>
    <r>
      <rPr>
        <b/>
        <sz val="13"/>
        <color theme="1"/>
        <rFont val="Aptos Narrow"/>
        <family val="2"/>
        <scheme val="minor"/>
      </rPr>
      <t>)</t>
    </r>
  </si>
  <si>
    <r>
      <t>Konc. fra vandprøve (C</t>
    </r>
    <r>
      <rPr>
        <b/>
        <vertAlign val="subscript"/>
        <sz val="13"/>
        <color theme="1"/>
        <rFont val="Aptos Narrow"/>
        <family val="2"/>
        <scheme val="minor"/>
      </rPr>
      <t>w</t>
    </r>
    <r>
      <rPr>
        <b/>
        <sz val="13"/>
        <color theme="1"/>
        <rFont val="Aptos Narrow"/>
        <family val="2"/>
        <scheme val="minor"/>
      </rPr>
      <t>)</t>
    </r>
  </si>
  <si>
    <t>SAND = blanke felter nedenfor:</t>
  </si>
  <si>
    <t>NBET</t>
  </si>
  <si>
    <t>Signatur</t>
  </si>
  <si>
    <t>Fasefordeling</t>
  </si>
  <si>
    <t>d50</t>
  </si>
  <si>
    <r>
      <t>(cm</t>
    </r>
    <r>
      <rPr>
        <vertAlign val="superscript"/>
        <sz val="13"/>
        <color theme="1"/>
        <rFont val="Aptos Narrow"/>
        <family val="2"/>
        <scheme val="minor"/>
      </rPr>
      <t>-1</t>
    </r>
    <r>
      <rPr>
        <sz val="13"/>
        <color theme="1"/>
        <rFont val="Aptos Narrow"/>
        <family val="2"/>
        <scheme val="minor"/>
      </rPr>
      <t>)</t>
    </r>
  </si>
  <si>
    <t>Bruges</t>
  </si>
  <si>
    <t>Nej</t>
  </si>
  <si>
    <t>Ja</t>
  </si>
  <si>
    <t>UZ</t>
  </si>
  <si>
    <t>MZ</t>
  </si>
  <si>
    <t>Moræneler, ox. (UZ)</t>
  </si>
  <si>
    <t>Moræneler, red. (UZ)</t>
  </si>
  <si>
    <t>Moræneler, ox. (MZ)</t>
  </si>
  <si>
    <t>Moræneler, red. (MZ)</t>
  </si>
  <si>
    <t>UZ ---&gt;</t>
  </si>
  <si>
    <t>MZ ---&gt;</t>
  </si>
  <si>
    <t>Kommentar</t>
  </si>
  <si>
    <r>
      <t>V</t>
    </r>
    <r>
      <rPr>
        <b/>
        <vertAlign val="subscript"/>
        <sz val="11"/>
        <color theme="1"/>
        <rFont val="Calibri"/>
        <family val="2"/>
      </rPr>
      <t>m</t>
    </r>
    <r>
      <rPr>
        <b/>
        <sz val="11"/>
        <color theme="1"/>
        <rFont val="Calibri"/>
        <family val="2"/>
      </rPr>
      <t xml:space="preserve"> (cm</t>
    </r>
    <r>
      <rPr>
        <b/>
        <vertAlign val="superscript"/>
        <sz val="11"/>
        <color theme="1"/>
        <rFont val="Calibri"/>
        <family val="2"/>
      </rPr>
      <t>3</t>
    </r>
    <r>
      <rPr>
        <b/>
        <sz val="11"/>
        <color theme="1"/>
        <rFont val="Calibri"/>
        <family val="2"/>
      </rPr>
      <t>/mol)</t>
    </r>
  </si>
  <si>
    <t>Magasinsand (foc &lt; 0,002)</t>
  </si>
  <si>
    <t>Fyld (foc &lt; 0,01)</t>
  </si>
  <si>
    <r>
      <t>K</t>
    </r>
    <r>
      <rPr>
        <b/>
        <vertAlign val="subscript"/>
        <sz val="11"/>
        <color theme="1"/>
        <rFont val="Calibri"/>
        <family val="2"/>
      </rPr>
      <t>ia</t>
    </r>
    <r>
      <rPr>
        <b/>
        <sz val="11"/>
        <color theme="1"/>
        <rFont val="Calibri"/>
        <family val="2"/>
      </rPr>
      <t xml:space="preserve"> - gns. (cm)</t>
    </r>
  </si>
  <si>
    <r>
      <t>M</t>
    </r>
    <r>
      <rPr>
        <b/>
        <vertAlign val="subscript"/>
        <sz val="11"/>
        <color theme="1"/>
        <rFont val="Calibri"/>
        <family val="2"/>
      </rPr>
      <t>w</t>
    </r>
    <r>
      <rPr>
        <b/>
        <sz val="11"/>
        <color theme="1"/>
        <rFont val="Calibri"/>
        <family val="2"/>
      </rPr>
      <t xml:space="preserve"> (g/mol)</t>
    </r>
  </si>
  <si>
    <r>
      <t>K</t>
    </r>
    <r>
      <rPr>
        <b/>
        <vertAlign val="subscript"/>
        <sz val="11"/>
        <color rgb="FF0070C0"/>
        <rFont val="Calibri"/>
        <family val="2"/>
      </rPr>
      <t>ia</t>
    </r>
    <r>
      <rPr>
        <b/>
        <sz val="11"/>
        <color rgb="FF0070C0"/>
        <rFont val="Calibri"/>
        <family val="2"/>
      </rPr>
      <t xml:space="preserve"> - lav (cm)</t>
    </r>
  </si>
  <si>
    <r>
      <t>K</t>
    </r>
    <r>
      <rPr>
        <b/>
        <vertAlign val="subscript"/>
        <sz val="11"/>
        <color rgb="FFFF0000"/>
        <rFont val="Calibri"/>
        <family val="2"/>
      </rPr>
      <t>ia</t>
    </r>
    <r>
      <rPr>
        <b/>
        <sz val="11"/>
        <color rgb="FFFF0000"/>
        <rFont val="Calibri"/>
        <family val="2"/>
      </rPr>
      <t xml:space="preserve"> - høj (cm)</t>
    </r>
  </si>
  <si>
    <t>-</t>
  </si>
  <si>
    <t xml:space="preserve">Jordtype: </t>
  </si>
  <si>
    <t>Sandlag i moræneler (UZ)</t>
  </si>
  <si>
    <t>Sandlag i moræneler (MZ)</t>
  </si>
  <si>
    <t>nr.</t>
  </si>
  <si>
    <t># fluorerede</t>
  </si>
  <si>
    <t>Koncentrationer</t>
  </si>
  <si>
    <t>Masser</t>
  </si>
  <si>
    <r>
      <t>f</t>
    </r>
    <r>
      <rPr>
        <b/>
        <vertAlign val="subscript"/>
        <sz val="12"/>
        <color theme="1"/>
        <rFont val="Aptos Narrow"/>
        <family val="2"/>
        <scheme val="minor"/>
      </rPr>
      <t>t</t>
    </r>
  </si>
  <si>
    <t># fluorerede C-atomer</t>
  </si>
  <si>
    <t>w (0,05-0,5)</t>
  </si>
  <si>
    <t>Benyttede værdier -&gt;</t>
  </si>
  <si>
    <r>
      <t>M</t>
    </r>
    <r>
      <rPr>
        <b/>
        <vertAlign val="subscript"/>
        <sz val="12"/>
        <color theme="1"/>
        <rFont val="Aptos Narrow"/>
        <family val="2"/>
        <scheme val="minor"/>
      </rPr>
      <t>s</t>
    </r>
  </si>
  <si>
    <t>Rel. masseandel</t>
  </si>
  <si>
    <t>Kalk, porøs</t>
  </si>
  <si>
    <t>Ja/nej</t>
  </si>
  <si>
    <t>UZ/MZ</t>
  </si>
  <si>
    <t>Følsomhedsanalyse</t>
  </si>
  <si>
    <t>Høj</t>
  </si>
  <si>
    <t>Lav</t>
  </si>
  <si>
    <r>
      <t>Benyttet K</t>
    </r>
    <r>
      <rPr>
        <i/>
        <vertAlign val="subscript"/>
        <sz val="10"/>
        <color theme="1" tint="0.499984740745262"/>
        <rFont val="Arial"/>
        <family val="2"/>
      </rPr>
      <t>ia</t>
    </r>
    <r>
      <rPr>
        <i/>
        <sz val="10"/>
        <color theme="1" tint="0.499984740745262"/>
        <rFont val="Arial"/>
        <family val="2"/>
      </rPr>
      <t xml:space="preserve"> -&gt;</t>
    </r>
  </si>
  <si>
    <r>
      <t>Benyttet K</t>
    </r>
    <r>
      <rPr>
        <i/>
        <vertAlign val="subscript"/>
        <sz val="10"/>
        <color theme="1" tint="0.499984740745262"/>
        <rFont val="Arial"/>
        <family val="2"/>
      </rPr>
      <t>d</t>
    </r>
    <r>
      <rPr>
        <i/>
        <sz val="10"/>
        <color theme="1" tint="0.499984740745262"/>
        <rFont val="Arial"/>
        <family val="2"/>
      </rPr>
      <t xml:space="preserve"> -&gt;</t>
    </r>
  </si>
  <si>
    <t>FølsomhedsanalyseKia</t>
  </si>
  <si>
    <t>FølsomhedsanalyseKd</t>
  </si>
  <si>
    <r>
      <t>Bedste bud K</t>
    </r>
    <r>
      <rPr>
        <b/>
        <vertAlign val="subscript"/>
        <sz val="11"/>
        <color theme="1"/>
        <rFont val="Calibri"/>
        <family val="2"/>
      </rPr>
      <t>d</t>
    </r>
    <r>
      <rPr>
        <b/>
        <sz val="11"/>
        <color theme="1"/>
        <rFont val="Calibri"/>
        <family val="2"/>
      </rPr>
      <t xml:space="preserve"> (L/kg TS)</t>
    </r>
  </si>
  <si>
    <r>
      <t>Høj K</t>
    </r>
    <r>
      <rPr>
        <b/>
        <vertAlign val="subscript"/>
        <sz val="11"/>
        <color rgb="FFFF0000"/>
        <rFont val="Calibri"/>
        <family val="2"/>
      </rPr>
      <t>d</t>
    </r>
    <r>
      <rPr>
        <b/>
        <sz val="11"/>
        <color rgb="FFFF0000"/>
        <rFont val="Calibri"/>
        <family val="2"/>
      </rPr>
      <t xml:space="preserve"> (L/kg TS)</t>
    </r>
  </si>
  <si>
    <r>
      <t>Lav K</t>
    </r>
    <r>
      <rPr>
        <b/>
        <vertAlign val="subscript"/>
        <sz val="11"/>
        <color rgb="FF0070C0"/>
        <rFont val="Calibri"/>
        <family val="2"/>
      </rPr>
      <t>d</t>
    </r>
    <r>
      <rPr>
        <b/>
        <sz val="11"/>
        <color rgb="FF0070C0"/>
        <rFont val="Calibri"/>
        <family val="2"/>
      </rPr>
      <t xml:space="preserve"> (L/kg TS)</t>
    </r>
  </si>
  <si>
    <t>Umættet/mættet zone:</t>
  </si>
  <si>
    <t>Jordtype:</t>
  </si>
  <si>
    <t xml:space="preserve">Hjælpeceller til </t>
  </si>
  <si>
    <t>formattering</t>
  </si>
  <si>
    <t>Trivialnavn</t>
  </si>
  <si>
    <t>vandprøve</t>
  </si>
  <si>
    <t>Fra</t>
  </si>
  <si>
    <t>jordprøve</t>
  </si>
  <si>
    <r>
      <t>Koncentration (C</t>
    </r>
    <r>
      <rPr>
        <b/>
        <vertAlign val="subscript"/>
        <sz val="11"/>
        <color theme="1"/>
        <rFont val="Calibri"/>
        <family val="2"/>
      </rPr>
      <t>t</t>
    </r>
    <r>
      <rPr>
        <b/>
        <sz val="11"/>
        <color theme="1"/>
        <rFont val="Calibri"/>
        <family val="2"/>
      </rPr>
      <t>)</t>
    </r>
  </si>
  <si>
    <r>
      <t>Koncentration (C</t>
    </r>
    <r>
      <rPr>
        <b/>
        <vertAlign val="subscript"/>
        <sz val="11"/>
        <color theme="1"/>
        <rFont val="Calibri"/>
        <family val="2"/>
      </rPr>
      <t>w</t>
    </r>
    <r>
      <rPr>
        <b/>
        <sz val="11"/>
        <color theme="1"/>
        <rFont val="Calibri"/>
        <family val="2"/>
      </rPr>
      <t>)</t>
    </r>
  </si>
  <si>
    <r>
      <t>C</t>
    </r>
    <r>
      <rPr>
        <b/>
        <vertAlign val="subscript"/>
        <sz val="11"/>
        <color theme="1"/>
        <rFont val="Calibri"/>
        <family val="2"/>
      </rPr>
      <t>t</t>
    </r>
  </si>
  <si>
    <r>
      <t>C</t>
    </r>
    <r>
      <rPr>
        <b/>
        <vertAlign val="subscript"/>
        <sz val="11"/>
        <color theme="1"/>
        <rFont val="Calibri"/>
        <family val="2"/>
      </rPr>
      <t>w</t>
    </r>
  </si>
  <si>
    <t>Partikeldensitet</t>
  </si>
  <si>
    <t>Tørstofindhold</t>
  </si>
  <si>
    <t>Gravimetrisk vandindhold</t>
  </si>
  <si>
    <t>Volumetrisk vandindhold</t>
  </si>
  <si>
    <t>Sagsnr.:</t>
  </si>
  <si>
    <t>Lok.nr.:</t>
  </si>
  <si>
    <t>Dybde:</t>
  </si>
  <si>
    <t>Lokalitetsnavn:</t>
  </si>
  <si>
    <t>Firma:</t>
  </si>
  <si>
    <t>Dato:</t>
  </si>
  <si>
    <t>Rel. volumenandel partikler</t>
  </si>
  <si>
    <t>Prøve / boring:</t>
  </si>
  <si>
    <t>Smeltevandssand (foc&lt;0,002)</t>
  </si>
  <si>
    <t>/1/</t>
  </si>
  <si>
    <t>/2/</t>
  </si>
  <si>
    <t>/3/</t>
  </si>
  <si>
    <t>Konceptuel model for transport og skæbne af PFAS ved forurenede grunde</t>
  </si>
  <si>
    <t>Egen</t>
  </si>
  <si>
    <t>værdi</t>
  </si>
  <si>
    <t>Givet fra tabel (stedslig variabel)</t>
  </si>
  <si>
    <t>Analyseresultater</t>
  </si>
  <si>
    <r>
      <t># betydende cifre i output (</t>
    </r>
    <r>
      <rPr>
        <b/>
        <sz val="11"/>
        <color theme="1"/>
        <rFont val="Calibri"/>
        <family val="2"/>
      </rPr>
      <t>2 eller 3</t>
    </r>
    <r>
      <rPr>
        <sz val="11"/>
        <color theme="1"/>
        <rFont val="Calibri"/>
        <family val="2"/>
      </rPr>
      <t>):</t>
    </r>
  </si>
  <si>
    <t>Luft-vand grænse</t>
  </si>
  <si>
    <r>
      <rPr>
        <sz val="10"/>
        <color theme="1"/>
        <rFont val="Symbol"/>
        <family val="1"/>
        <charset val="2"/>
      </rPr>
      <t>r</t>
    </r>
    <r>
      <rPr>
        <vertAlign val="subscript"/>
        <sz val="10"/>
        <color theme="1"/>
        <rFont val="Aptos Narrow"/>
        <family val="2"/>
        <scheme val="minor"/>
      </rPr>
      <t>s</t>
    </r>
    <r>
      <rPr>
        <sz val="10"/>
        <color theme="1"/>
        <rFont val="Aptos Narrow"/>
        <family val="2"/>
        <scheme val="minor"/>
      </rPr>
      <t xml:space="preserve"> (2,4-2,8)</t>
    </r>
  </si>
  <si>
    <t>Hydrogeologic Properties of Earth Materials and Principles of Groundwater Flow</t>
  </si>
  <si>
    <t>Densities of Common Rocks and Minerals</t>
  </si>
  <si>
    <t>/4/</t>
  </si>
  <si>
    <t>/5/</t>
  </si>
  <si>
    <t>/6/</t>
  </si>
  <si>
    <t>Predicting particle density from clay and soil organic matter contents</t>
  </si>
  <si>
    <t>Alden, A. (2025)
https://www.thoughtco.com/densities-of-common-rocks-and-minerals-1439119</t>
  </si>
  <si>
    <t>Physics-Informed Neural Networks for Estimating a Continous Form of the Soil Water retention Curve From Basic Soil Properties</t>
  </si>
  <si>
    <t>Estimating Soil Particle Density using Visible Near-infrared Spectroscopy and a Simple, Two-compartment Pedotransfer Function</t>
  </si>
  <si>
    <t>Schjønning, P., R.A. Mcbride, T. Keller, P.B. Obour (2017) 
http://dx.doi.org/10.1016/j.geoderma.2016.10.020</t>
  </si>
  <si>
    <t>Norouzi, S., C. Pesch, E. Arthur, T. Norgaard, P. Moldrup, M.H. Greve, A.M. Beucher, M. Sadeghi, M. Zaresourmanabad, M. Tuller, B.V. Iversen, L.W. de Jonge (2025)
https://doi.org/10.1029/2024WR038149</t>
  </si>
  <si>
    <t>Manage, L.P.M., S. Katuwal, T. Norgaard, M. Knadel, P. Moldrup, L.W. de Jonge, M.H. Greve (2019)
https://acsess.onlinelibrary.wiley.com/doi/abs/10.2136/sssaj2018.06.0217</t>
  </si>
  <si>
    <t>/7/</t>
  </si>
  <si>
    <t>/8/</t>
  </si>
  <si>
    <t>Determination of Matrix Pore Size distribution in Fractured Clayey Till and Assessment of Matrix Migration of Dechlorinating Bacteria</t>
  </si>
  <si>
    <t>Lu, C., M.M. Broholm, I.L. Fabricius, P.L. Bjerg (2014)
http://dx.doi.org/10.1080/10889868.2014.939133</t>
  </si>
  <si>
    <t>Fyld (foc &gt; 0,01)</t>
  </si>
  <si>
    <t>Muld (foc &gt; 0,01)</t>
  </si>
  <si>
    <t>Jord 4 eller 5</t>
  </si>
  <si>
    <t xml:space="preserve">Advarsler / bemærkninger </t>
  </si>
  <si>
    <r>
      <t>L</t>
    </r>
    <r>
      <rPr>
        <vertAlign val="subscript"/>
        <sz val="10"/>
        <color theme="1"/>
        <rFont val="Aptos Narrow"/>
        <family val="2"/>
        <scheme val="minor"/>
      </rPr>
      <t>t</t>
    </r>
  </si>
  <si>
    <t>Jord 2, 6 eller 7</t>
  </si>
  <si>
    <t>Cw</t>
  </si>
  <si>
    <t>Cs</t>
  </si>
  <si>
    <t>Cia</t>
  </si>
  <si>
    <t>Komponent</t>
  </si>
  <si>
    <t># C-atomer</t>
  </si>
  <si>
    <t>(ng/L)</t>
  </si>
  <si>
    <t>Parameter -&gt;</t>
  </si>
  <si>
    <t>Enhed -&gt;</t>
  </si>
  <si>
    <t>Værdier fra jordtype -&gt;</t>
  </si>
  <si>
    <r>
      <t>f</t>
    </r>
    <r>
      <rPr>
        <b/>
        <vertAlign val="subscript"/>
        <sz val="12"/>
        <color theme="1"/>
        <rFont val="Aptos Narrow"/>
        <family val="2"/>
        <scheme val="minor"/>
      </rPr>
      <t>ia</t>
    </r>
  </si>
  <si>
    <r>
      <t>kg TS/L</t>
    </r>
    <r>
      <rPr>
        <vertAlign val="subscript"/>
        <sz val="10"/>
        <color theme="1"/>
        <rFont val="Aptos Narrow"/>
        <family val="2"/>
        <scheme val="minor"/>
      </rPr>
      <t>t</t>
    </r>
  </si>
  <si>
    <r>
      <t>cm</t>
    </r>
    <r>
      <rPr>
        <vertAlign val="superscript"/>
        <sz val="10"/>
        <color theme="1"/>
        <rFont val="Aptos Narrow"/>
        <family val="2"/>
        <scheme val="minor"/>
      </rPr>
      <t>2</t>
    </r>
    <r>
      <rPr>
        <vertAlign val="subscript"/>
        <sz val="10"/>
        <color theme="1"/>
        <rFont val="Aptos Narrow"/>
        <family val="2"/>
        <scheme val="minor"/>
      </rPr>
      <t>ia</t>
    </r>
    <r>
      <rPr>
        <sz val="10"/>
        <color theme="1"/>
        <rFont val="Aptos Narrow"/>
        <family val="2"/>
        <scheme val="minor"/>
      </rPr>
      <t>/cm</t>
    </r>
    <r>
      <rPr>
        <vertAlign val="superscript"/>
        <sz val="10"/>
        <color theme="1"/>
        <rFont val="Aptos Narrow"/>
        <family val="2"/>
        <scheme val="minor"/>
      </rPr>
      <t>3</t>
    </r>
    <r>
      <rPr>
        <vertAlign val="subscript"/>
        <sz val="10"/>
        <color theme="1"/>
        <rFont val="Aptos Narrow"/>
        <family val="2"/>
        <scheme val="minor"/>
      </rPr>
      <t>tot</t>
    </r>
  </si>
  <si>
    <r>
      <rPr>
        <b/>
        <i/>
        <sz val="12"/>
        <color theme="1"/>
        <rFont val="Symbol"/>
        <family val="1"/>
        <charset val="2"/>
      </rPr>
      <t>r</t>
    </r>
    <r>
      <rPr>
        <b/>
        <i/>
        <vertAlign val="subscript"/>
        <sz val="12"/>
        <color theme="1"/>
        <rFont val="Aptos Narrow"/>
        <family val="2"/>
        <scheme val="minor"/>
      </rPr>
      <t>s</t>
    </r>
  </si>
  <si>
    <r>
      <rPr>
        <b/>
        <i/>
        <sz val="12"/>
        <color theme="1"/>
        <rFont val="Symbol"/>
        <family val="1"/>
        <charset val="2"/>
      </rPr>
      <t>r</t>
    </r>
    <r>
      <rPr>
        <b/>
        <i/>
        <vertAlign val="subscript"/>
        <sz val="12"/>
        <color theme="1"/>
        <rFont val="Aptos Narrow"/>
        <family val="2"/>
        <scheme val="minor"/>
      </rPr>
      <t>b</t>
    </r>
  </si>
  <si>
    <r>
      <t>S</t>
    </r>
    <r>
      <rPr>
        <b/>
        <i/>
        <vertAlign val="subscript"/>
        <sz val="12"/>
        <color theme="1"/>
        <rFont val="Aptos Narrow"/>
        <family val="2"/>
        <scheme val="minor"/>
      </rPr>
      <t>w</t>
    </r>
  </si>
  <si>
    <r>
      <rPr>
        <b/>
        <i/>
        <sz val="13"/>
        <color theme="1"/>
        <rFont val="Symbol"/>
        <family val="1"/>
        <charset val="2"/>
      </rPr>
      <t>r</t>
    </r>
    <r>
      <rPr>
        <b/>
        <i/>
        <vertAlign val="subscript"/>
        <sz val="13"/>
        <color theme="1"/>
        <rFont val="Aptos Narrow"/>
        <family val="2"/>
        <scheme val="minor"/>
      </rPr>
      <t>s</t>
    </r>
  </si>
  <si>
    <r>
      <rPr>
        <b/>
        <i/>
        <sz val="13"/>
        <color theme="1"/>
        <rFont val="Symbol"/>
        <family val="1"/>
        <charset val="2"/>
      </rPr>
      <t>r</t>
    </r>
    <r>
      <rPr>
        <b/>
        <i/>
        <vertAlign val="subscript"/>
        <sz val="13"/>
        <color theme="1"/>
        <rFont val="Aptos Narrow"/>
        <family val="2"/>
        <scheme val="minor"/>
      </rPr>
      <t>b</t>
    </r>
  </si>
  <si>
    <r>
      <t>S</t>
    </r>
    <r>
      <rPr>
        <b/>
        <i/>
        <vertAlign val="subscript"/>
        <sz val="13"/>
        <color theme="1"/>
        <rFont val="Aptos Narrow"/>
        <family val="2"/>
        <scheme val="minor"/>
      </rPr>
      <t>w</t>
    </r>
  </si>
  <si>
    <t>Rumvægt (bulk densitet)</t>
  </si>
  <si>
    <t>TS%</t>
  </si>
  <si>
    <r>
      <t>q</t>
    </r>
    <r>
      <rPr>
        <b/>
        <i/>
        <vertAlign val="subscript"/>
        <sz val="12"/>
        <color theme="1"/>
        <rFont val="Aptos Narrow"/>
        <family val="2"/>
        <scheme val="minor"/>
      </rPr>
      <t>w</t>
    </r>
  </si>
  <si>
    <r>
      <t>q</t>
    </r>
    <r>
      <rPr>
        <b/>
        <i/>
        <vertAlign val="subscript"/>
        <sz val="12"/>
        <color theme="1"/>
        <rFont val="Aptos Narrow"/>
        <family val="2"/>
        <scheme val="minor"/>
      </rPr>
      <t>a</t>
    </r>
  </si>
  <si>
    <t>n</t>
  </si>
  <si>
    <r>
      <t>(V</t>
    </r>
    <r>
      <rPr>
        <i/>
        <vertAlign val="subscript"/>
        <sz val="10"/>
        <color theme="1"/>
        <rFont val="Aptos Narrow"/>
        <family val="2"/>
        <scheme val="minor"/>
      </rPr>
      <t>t</t>
    </r>
    <r>
      <rPr>
        <i/>
        <sz val="10"/>
        <color theme="1"/>
        <rFont val="Aptos Narrow"/>
        <family val="2"/>
        <scheme val="minor"/>
      </rPr>
      <t>)</t>
    </r>
  </si>
  <si>
    <t>Volumetrisk vandindhold (rel. volumenandel vand)</t>
  </si>
  <si>
    <t>Luftfyldt porehulrum (rel. volumenandel luft)</t>
  </si>
  <si>
    <t>Luft-vand grænsefladeareal</t>
  </si>
  <si>
    <r>
      <t>(A</t>
    </r>
    <r>
      <rPr>
        <i/>
        <vertAlign val="subscript"/>
        <sz val="10"/>
        <color theme="1"/>
        <rFont val="Aptos Narrow"/>
        <family val="2"/>
        <scheme val="minor"/>
      </rPr>
      <t>ia</t>
    </r>
    <r>
      <rPr>
        <i/>
        <sz val="10"/>
        <color theme="1"/>
        <rFont val="Aptos Narrow"/>
        <family val="2"/>
        <scheme val="minor"/>
      </rPr>
      <t>)</t>
    </r>
  </si>
  <si>
    <r>
      <t>(V</t>
    </r>
    <r>
      <rPr>
        <i/>
        <vertAlign val="subscript"/>
        <sz val="10"/>
        <color theme="1"/>
        <rFont val="Aptos Narrow"/>
        <family val="2"/>
        <scheme val="minor"/>
      </rPr>
      <t>p</t>
    </r>
    <r>
      <rPr>
        <i/>
        <sz val="10"/>
        <color theme="1"/>
        <rFont val="Aptos Narrow"/>
        <family val="2"/>
        <scheme val="minor"/>
      </rPr>
      <t>)</t>
    </r>
  </si>
  <si>
    <r>
      <t>kg TS/L</t>
    </r>
    <r>
      <rPr>
        <vertAlign val="subscript"/>
        <sz val="10"/>
        <color theme="1"/>
        <rFont val="Aptos Narrow"/>
        <family val="2"/>
        <scheme val="minor"/>
      </rPr>
      <t>p</t>
    </r>
  </si>
  <si>
    <r>
      <t>(L</t>
    </r>
    <r>
      <rPr>
        <vertAlign val="subscript"/>
        <sz val="10"/>
        <color theme="1"/>
        <rFont val="Aptos Narrow"/>
        <family val="2"/>
        <scheme val="minor"/>
      </rPr>
      <t>v</t>
    </r>
    <r>
      <rPr>
        <sz val="10"/>
        <color theme="1"/>
        <rFont val="Aptos Narrow"/>
        <family val="2"/>
        <scheme val="minor"/>
      </rPr>
      <t>+L</t>
    </r>
    <r>
      <rPr>
        <vertAlign val="subscript"/>
        <sz val="10"/>
        <color theme="1"/>
        <rFont val="Aptos Narrow"/>
        <family val="2"/>
        <scheme val="minor"/>
      </rPr>
      <t>l</t>
    </r>
    <r>
      <rPr>
        <sz val="10"/>
        <color theme="1"/>
        <rFont val="Aptos Narrow"/>
        <family val="2"/>
        <scheme val="minor"/>
      </rPr>
      <t>)/L</t>
    </r>
    <r>
      <rPr>
        <vertAlign val="subscript"/>
        <sz val="10"/>
        <color theme="1"/>
        <rFont val="Aptos Narrow"/>
        <family val="2"/>
        <scheme val="minor"/>
      </rPr>
      <t>t</t>
    </r>
  </si>
  <si>
    <r>
      <t>L</t>
    </r>
    <r>
      <rPr>
        <vertAlign val="subscript"/>
        <sz val="10"/>
        <color theme="1"/>
        <rFont val="Aptos Narrow"/>
        <family val="2"/>
        <scheme val="minor"/>
      </rPr>
      <t>v</t>
    </r>
    <r>
      <rPr>
        <sz val="10"/>
        <color theme="1"/>
        <rFont val="Aptos Narrow"/>
        <family val="2"/>
        <scheme val="minor"/>
      </rPr>
      <t>/L</t>
    </r>
    <r>
      <rPr>
        <vertAlign val="subscript"/>
        <sz val="10"/>
        <color theme="1"/>
        <rFont val="Aptos Narrow"/>
        <family val="2"/>
        <scheme val="minor"/>
      </rPr>
      <t>t</t>
    </r>
  </si>
  <si>
    <r>
      <t>L</t>
    </r>
    <r>
      <rPr>
        <vertAlign val="subscript"/>
        <sz val="10"/>
        <color theme="1"/>
        <rFont val="Aptos Narrow"/>
        <family val="2"/>
        <scheme val="minor"/>
      </rPr>
      <t>l</t>
    </r>
    <r>
      <rPr>
        <sz val="10"/>
        <color theme="1"/>
        <rFont val="Aptos Narrow"/>
        <family val="2"/>
        <scheme val="minor"/>
      </rPr>
      <t>/L</t>
    </r>
    <r>
      <rPr>
        <vertAlign val="subscript"/>
        <sz val="10"/>
        <color theme="1"/>
        <rFont val="Aptos Narrow"/>
        <family val="2"/>
        <scheme val="minor"/>
      </rPr>
      <t>t</t>
    </r>
  </si>
  <si>
    <t>Enhedsvolumen/totalvolumen</t>
  </si>
  <si>
    <r>
      <rPr>
        <i/>
        <sz val="10"/>
        <color theme="1"/>
        <rFont val="Symbol"/>
        <family val="1"/>
        <charset val="2"/>
      </rPr>
      <t>q</t>
    </r>
    <r>
      <rPr>
        <i/>
        <vertAlign val="subscript"/>
        <sz val="10"/>
        <color theme="1"/>
        <rFont val="Aptos Narrow"/>
        <family val="2"/>
        <scheme val="minor"/>
      </rPr>
      <t>w</t>
    </r>
    <r>
      <rPr>
        <i/>
        <sz val="10"/>
        <color theme="1"/>
        <rFont val="Aptos Narrow"/>
        <family val="2"/>
        <scheme val="minor"/>
      </rPr>
      <t xml:space="preserve"> (V</t>
    </r>
    <r>
      <rPr>
        <i/>
        <vertAlign val="subscript"/>
        <sz val="10"/>
        <color theme="1"/>
        <rFont val="Aptos Narrow"/>
        <family val="2"/>
        <scheme val="minor"/>
      </rPr>
      <t>v</t>
    </r>
    <r>
      <rPr>
        <i/>
        <sz val="10"/>
        <color theme="1"/>
        <rFont val="Aptos Narrow"/>
        <family val="2"/>
        <scheme val="minor"/>
      </rPr>
      <t>)</t>
    </r>
  </si>
  <si>
    <r>
      <rPr>
        <i/>
        <sz val="10"/>
        <color theme="1"/>
        <rFont val="Symbol"/>
        <family val="1"/>
        <charset val="2"/>
      </rPr>
      <t>q</t>
    </r>
    <r>
      <rPr>
        <i/>
        <vertAlign val="subscript"/>
        <sz val="10"/>
        <color theme="1"/>
        <rFont val="Aptos Narrow"/>
        <family val="2"/>
        <scheme val="minor"/>
      </rPr>
      <t>a</t>
    </r>
    <r>
      <rPr>
        <i/>
        <sz val="10"/>
        <color theme="1"/>
        <rFont val="Aptos Narrow"/>
        <family val="2"/>
        <scheme val="minor"/>
      </rPr>
      <t xml:space="preserve"> (V</t>
    </r>
    <r>
      <rPr>
        <i/>
        <vertAlign val="subscript"/>
        <sz val="10"/>
        <color theme="1"/>
        <rFont val="Aptos Narrow"/>
        <family val="2"/>
        <scheme val="minor"/>
      </rPr>
      <t>l</t>
    </r>
    <r>
      <rPr>
        <i/>
        <sz val="10"/>
        <color theme="1"/>
        <rFont val="Aptos Narrow"/>
        <family val="2"/>
        <scheme val="minor"/>
      </rPr>
      <t>)</t>
    </r>
  </si>
  <si>
    <r>
      <t>L</t>
    </r>
    <r>
      <rPr>
        <vertAlign val="subscript"/>
        <sz val="10"/>
        <color theme="1"/>
        <rFont val="Aptos Narrow"/>
        <family val="2"/>
        <scheme val="minor"/>
      </rPr>
      <t>p</t>
    </r>
    <r>
      <rPr>
        <sz val="10"/>
        <color theme="1"/>
        <rFont val="Aptos Narrow"/>
        <family val="2"/>
        <scheme val="minor"/>
      </rPr>
      <t>/L</t>
    </r>
    <r>
      <rPr>
        <vertAlign val="subscript"/>
        <sz val="10"/>
        <color theme="1"/>
        <rFont val="Aptos Narrow"/>
        <family val="2"/>
        <scheme val="minor"/>
      </rPr>
      <t>t</t>
    </r>
  </si>
  <si>
    <t>kg vand</t>
  </si>
  <si>
    <t>kg vand/kg TS</t>
  </si>
  <si>
    <t>OBS ift. estimerede resultater:</t>
  </si>
  <si>
    <r>
      <t>q</t>
    </r>
    <r>
      <rPr>
        <b/>
        <i/>
        <vertAlign val="subscript"/>
        <sz val="13"/>
        <color theme="1"/>
        <rFont val="Aptos Narrow"/>
        <family val="2"/>
        <scheme val="minor"/>
      </rPr>
      <t>w</t>
    </r>
  </si>
  <si>
    <r>
      <t>Relativ vandmætning (</t>
    </r>
    <r>
      <rPr>
        <sz val="11"/>
        <color theme="1"/>
        <rFont val="Symbol"/>
        <family val="1"/>
        <charset val="2"/>
      </rPr>
      <t>q</t>
    </r>
    <r>
      <rPr>
        <vertAlign val="subscript"/>
        <sz val="11"/>
        <color theme="1"/>
        <rFont val="Calibri"/>
        <family val="2"/>
      </rPr>
      <t>w</t>
    </r>
    <r>
      <rPr>
        <sz val="11"/>
        <color theme="1"/>
        <rFont val="Calibri"/>
        <family val="2"/>
      </rPr>
      <t>/n)</t>
    </r>
  </si>
  <si>
    <r>
      <t>q</t>
    </r>
    <r>
      <rPr>
        <b/>
        <i/>
        <vertAlign val="subscript"/>
        <sz val="13"/>
        <color theme="1"/>
        <rFont val="Aptos Narrow"/>
        <family val="2"/>
        <scheme val="minor"/>
      </rPr>
      <t>a</t>
    </r>
  </si>
  <si>
    <t>Udført af:</t>
  </si>
  <si>
    <r>
      <rPr>
        <sz val="10"/>
        <color theme="1"/>
        <rFont val="Symbol"/>
        <family val="1"/>
        <charset val="2"/>
      </rPr>
      <t>q</t>
    </r>
    <r>
      <rPr>
        <vertAlign val="subscript"/>
        <sz val="10"/>
        <color theme="1"/>
        <rFont val="Aptos Narrow"/>
        <family val="2"/>
        <scheme val="minor"/>
      </rPr>
      <t>a</t>
    </r>
    <r>
      <rPr>
        <sz val="10"/>
        <color theme="1"/>
        <rFont val="Aptos Narrow"/>
        <family val="2"/>
        <scheme val="minor"/>
      </rPr>
      <t xml:space="preserve"> (&gt;0,02 i UZ)</t>
    </r>
  </si>
  <si>
    <t>n (0,2-0,5)</t>
  </si>
  <si>
    <t>Bemærkninger</t>
  </si>
  <si>
    <r>
      <t>(kg TS/L</t>
    </r>
    <r>
      <rPr>
        <vertAlign val="subscript"/>
        <sz val="10"/>
        <color theme="1"/>
        <rFont val="Aptos Narrow"/>
        <family val="2"/>
        <scheme val="minor"/>
      </rPr>
      <t>p</t>
    </r>
    <r>
      <rPr>
        <sz val="10"/>
        <color theme="1"/>
        <rFont val="Aptos Narrow"/>
        <family val="2"/>
        <scheme val="minor"/>
      </rPr>
      <t>)</t>
    </r>
  </si>
  <si>
    <t>Enhed</t>
  </si>
  <si>
    <t>Værdi</t>
  </si>
  <si>
    <r>
      <t>(M</t>
    </r>
    <r>
      <rPr>
        <i/>
        <vertAlign val="subscript"/>
        <sz val="10"/>
        <color theme="1"/>
        <rFont val="Aptos Narrow"/>
        <family val="2"/>
        <scheme val="minor"/>
      </rPr>
      <t>p</t>
    </r>
    <r>
      <rPr>
        <i/>
        <sz val="10"/>
        <color theme="1"/>
        <rFont val="Aptos Narrow"/>
        <family val="2"/>
        <scheme val="minor"/>
      </rPr>
      <t>)</t>
    </r>
  </si>
  <si>
    <r>
      <t>(M</t>
    </r>
    <r>
      <rPr>
        <i/>
        <vertAlign val="subscript"/>
        <sz val="10"/>
        <color theme="1"/>
        <rFont val="Aptos Narrow"/>
        <family val="2"/>
        <scheme val="minor"/>
      </rPr>
      <t>v</t>
    </r>
    <r>
      <rPr>
        <i/>
        <sz val="10"/>
        <color theme="1"/>
        <rFont val="Aptos Narrow"/>
        <family val="2"/>
        <scheme val="minor"/>
      </rPr>
      <t>)</t>
    </r>
  </si>
  <si>
    <r>
      <t>(M</t>
    </r>
    <r>
      <rPr>
        <vertAlign val="subscript"/>
        <sz val="10"/>
        <color theme="1"/>
        <rFont val="Aptos Narrow"/>
        <family val="2"/>
        <scheme val="minor"/>
      </rPr>
      <t>p</t>
    </r>
    <r>
      <rPr>
        <sz val="10"/>
        <color theme="1"/>
        <rFont val="Aptos Narrow"/>
        <family val="2"/>
        <scheme val="minor"/>
      </rPr>
      <t>/V</t>
    </r>
    <r>
      <rPr>
        <vertAlign val="subscript"/>
        <sz val="10"/>
        <color theme="1"/>
        <rFont val="Aptos Narrow"/>
        <family val="2"/>
        <scheme val="minor"/>
      </rPr>
      <t>p</t>
    </r>
    <r>
      <rPr>
        <sz val="10"/>
        <color theme="1"/>
        <rFont val="Aptos Narrow"/>
        <family val="2"/>
        <scheme val="minor"/>
      </rPr>
      <t>)</t>
    </r>
  </si>
  <si>
    <r>
      <t>(M</t>
    </r>
    <r>
      <rPr>
        <vertAlign val="subscript"/>
        <sz val="10"/>
        <color theme="1"/>
        <rFont val="Aptos Narrow"/>
        <family val="2"/>
        <scheme val="minor"/>
      </rPr>
      <t>v</t>
    </r>
    <r>
      <rPr>
        <sz val="10"/>
        <color theme="1"/>
        <rFont val="Aptos Narrow"/>
        <family val="2"/>
        <scheme val="minor"/>
      </rPr>
      <t>/M</t>
    </r>
    <r>
      <rPr>
        <vertAlign val="subscript"/>
        <sz val="10"/>
        <color theme="1"/>
        <rFont val="Aptos Narrow"/>
        <family val="2"/>
        <scheme val="minor"/>
      </rPr>
      <t>p</t>
    </r>
    <r>
      <rPr>
        <sz val="10"/>
        <color theme="1"/>
        <rFont val="Aptos Narrow"/>
        <family val="2"/>
        <scheme val="minor"/>
      </rPr>
      <t>)</t>
    </r>
  </si>
  <si>
    <r>
      <t>(V</t>
    </r>
    <r>
      <rPr>
        <vertAlign val="subscript"/>
        <sz val="10"/>
        <color theme="1"/>
        <rFont val="Aptos Narrow"/>
        <family val="2"/>
        <scheme val="minor"/>
      </rPr>
      <t>v</t>
    </r>
    <r>
      <rPr>
        <sz val="10"/>
        <color theme="1"/>
        <rFont val="Aptos Narrow"/>
        <family val="2"/>
        <scheme val="minor"/>
      </rPr>
      <t>/V</t>
    </r>
    <r>
      <rPr>
        <vertAlign val="subscript"/>
        <sz val="10"/>
        <color theme="1"/>
        <rFont val="Aptos Narrow"/>
        <family val="2"/>
        <scheme val="minor"/>
      </rPr>
      <t>t</t>
    </r>
    <r>
      <rPr>
        <sz val="10"/>
        <color theme="1"/>
        <rFont val="Aptos Narrow"/>
        <family val="2"/>
        <scheme val="minor"/>
      </rPr>
      <t>)</t>
    </r>
  </si>
  <si>
    <r>
      <t>(V</t>
    </r>
    <r>
      <rPr>
        <vertAlign val="subscript"/>
        <sz val="10"/>
        <color theme="1"/>
        <rFont val="Aptos Narrow"/>
        <family val="2"/>
        <scheme val="minor"/>
      </rPr>
      <t>l</t>
    </r>
    <r>
      <rPr>
        <sz val="10"/>
        <color theme="1"/>
        <rFont val="Aptos Narrow"/>
        <family val="2"/>
        <scheme val="minor"/>
      </rPr>
      <t>/V</t>
    </r>
    <r>
      <rPr>
        <vertAlign val="subscript"/>
        <sz val="10"/>
        <color theme="1"/>
        <rFont val="Aptos Narrow"/>
        <family val="2"/>
        <scheme val="minor"/>
      </rPr>
      <t>t</t>
    </r>
    <r>
      <rPr>
        <sz val="10"/>
        <color theme="1"/>
        <rFont val="Aptos Narrow"/>
        <family val="2"/>
        <scheme val="minor"/>
      </rPr>
      <t>)</t>
    </r>
  </si>
  <si>
    <r>
      <t>(M</t>
    </r>
    <r>
      <rPr>
        <vertAlign val="subscript"/>
        <sz val="10"/>
        <color theme="1"/>
        <rFont val="Aptos Narrow"/>
        <family val="2"/>
        <scheme val="minor"/>
      </rPr>
      <t>p</t>
    </r>
    <r>
      <rPr>
        <sz val="10"/>
        <color theme="1"/>
        <rFont val="Aptos Narrow"/>
        <family val="2"/>
        <scheme val="minor"/>
      </rPr>
      <t>/V</t>
    </r>
    <r>
      <rPr>
        <vertAlign val="subscript"/>
        <sz val="10"/>
        <color theme="1"/>
        <rFont val="Aptos Narrow"/>
        <family val="2"/>
        <scheme val="minor"/>
      </rPr>
      <t>t</t>
    </r>
    <r>
      <rPr>
        <sz val="10"/>
        <color theme="1"/>
        <rFont val="Aptos Narrow"/>
        <family val="2"/>
        <scheme val="minor"/>
      </rPr>
      <t>)</t>
    </r>
  </si>
  <si>
    <r>
      <t>[V</t>
    </r>
    <r>
      <rPr>
        <vertAlign val="subscript"/>
        <sz val="10"/>
        <color theme="1"/>
        <rFont val="Aptos Narrow"/>
        <family val="2"/>
        <scheme val="minor"/>
      </rPr>
      <t>v</t>
    </r>
    <r>
      <rPr>
        <sz val="10"/>
        <color theme="1"/>
        <rFont val="Aptos Narrow"/>
        <family val="2"/>
        <scheme val="minor"/>
      </rPr>
      <t>/(V</t>
    </r>
    <r>
      <rPr>
        <vertAlign val="subscript"/>
        <sz val="10"/>
        <color theme="1"/>
        <rFont val="Aptos Narrow"/>
        <family val="2"/>
        <scheme val="minor"/>
      </rPr>
      <t>v</t>
    </r>
    <r>
      <rPr>
        <sz val="10"/>
        <color theme="1"/>
        <rFont val="Aptos Narrow"/>
        <family val="2"/>
        <scheme val="minor"/>
      </rPr>
      <t>+V</t>
    </r>
    <r>
      <rPr>
        <vertAlign val="subscript"/>
        <sz val="10"/>
        <color theme="1"/>
        <rFont val="Aptos Narrow"/>
        <family val="2"/>
        <scheme val="minor"/>
      </rPr>
      <t>l</t>
    </r>
    <r>
      <rPr>
        <sz val="10"/>
        <color theme="1"/>
        <rFont val="Aptos Narrow"/>
        <family val="2"/>
        <scheme val="minor"/>
      </rPr>
      <t>)]</t>
    </r>
  </si>
  <si>
    <r>
      <t>M</t>
    </r>
    <r>
      <rPr>
        <vertAlign val="subscript"/>
        <sz val="10"/>
        <color theme="1" tint="0.499984740745262"/>
        <rFont val="Aptos Narrow"/>
        <family val="2"/>
        <scheme val="minor"/>
      </rPr>
      <t>p</t>
    </r>
    <r>
      <rPr>
        <sz val="10"/>
        <color theme="1" tint="0.499984740745262"/>
        <rFont val="Aptos Narrow"/>
        <family val="2"/>
        <scheme val="minor"/>
      </rPr>
      <t>/V</t>
    </r>
    <r>
      <rPr>
        <vertAlign val="subscript"/>
        <sz val="10"/>
        <color theme="1" tint="0.499984740745262"/>
        <rFont val="Aptos Narrow"/>
        <family val="2"/>
        <scheme val="minor"/>
      </rPr>
      <t>p</t>
    </r>
  </si>
  <si>
    <t>[2,54-2,72]</t>
  </si>
  <si>
    <t>[2,6-2,7]</t>
  </si>
  <si>
    <t>[2,6-2,8]</t>
  </si>
  <si>
    <t>[0,40-0,50]</t>
  </si>
  <si>
    <t>[0,20-0,40]</t>
  </si>
  <si>
    <t>[0,20-0,30]</t>
  </si>
  <si>
    <t>[0,20-0,45]</t>
  </si>
  <si>
    <r>
      <rPr>
        <b/>
        <sz val="9"/>
        <color theme="1"/>
        <rFont val="Arial"/>
        <family val="2"/>
      </rPr>
      <t>Muld:</t>
    </r>
    <r>
      <rPr>
        <sz val="9"/>
        <color theme="1"/>
        <rFont val="Arial"/>
        <family val="2"/>
      </rPr>
      <t xml:space="preserve"> De inkluderede muldjorde var relativt sandede (60-65%) med en fraktion af organisk kulstof (foc) på 0,01-0,02 (1-2%) og et begrænset lerindhold (&lt;5%). Der er i andre forsøg fundet en højere sorption for muldjorde med højere lerindhold.</t>
    </r>
  </si>
  <si>
    <r>
      <rPr>
        <b/>
        <sz val="9"/>
        <color theme="1"/>
        <rFont val="Arial"/>
        <family val="2"/>
      </rPr>
      <t>Fyld:</t>
    </r>
    <r>
      <rPr>
        <sz val="9"/>
        <color theme="1"/>
        <rFont val="Arial"/>
        <family val="2"/>
      </rPr>
      <t xml:space="preserve"> De inkluderede fyldjorde er alle relativt sandede (50-60%), hvor den største forskel er fraktionen af organisk kulstof. Fyld er derfor delt op i to kategorier: fyld med et højere organisk kulstof indhold (foc &gt;0,01), der er grupperet med muld; og fyld med et lavere organisk kulstof indhold (foc &lt;0,01), der er grupperet med sand med et relativt højt organisk kulstof indhold (foc &gt;0,005).</t>
    </r>
  </si>
  <si>
    <r>
      <rPr>
        <b/>
        <sz val="9"/>
        <color theme="1"/>
        <rFont val="Arial"/>
        <family val="2"/>
      </rPr>
      <t>Moræneler (oxideret):</t>
    </r>
    <r>
      <rPr>
        <sz val="9"/>
        <color theme="1"/>
        <rFont val="Arial"/>
        <family val="2"/>
      </rPr>
      <t xml:space="preserve"> De oxiderede moræneler inkluderer kun jorde med et lavt lerindhold (&lt;12%), hvor der reelt måske nærmere er tale om morænesilt. Der er dog set lignende sorption i igangværende forsøg med mere lerholdig oxideret moræneler. Fraktionen af organisk kulstof er mellem 0,002-0,007.</t>
    </r>
  </si>
  <si>
    <r>
      <rPr>
        <b/>
        <sz val="9"/>
        <color theme="1"/>
        <rFont val="Arial"/>
        <family val="2"/>
      </rPr>
      <t>Moræneler (reduceret):</t>
    </r>
    <r>
      <rPr>
        <sz val="9"/>
        <color theme="1"/>
        <rFont val="Arial"/>
        <family val="2"/>
      </rPr>
      <t xml:space="preserve"> De reducerede moræneler inkluderer både jorde med et betydeligt lerindhold (ca. 20%), samt jorde med et lavt lerindhold (&lt;12%), hvor der reelt måske nærmere er tale om morænesilt. Fraktionen af organisk kulstof er mellem 0,002-0,007.</t>
    </r>
  </si>
  <si>
    <r>
      <rPr>
        <b/>
        <sz val="9"/>
        <color theme="1"/>
        <rFont val="Arial"/>
        <family val="2"/>
      </rPr>
      <t xml:space="preserve">Sandlag i moræneler: </t>
    </r>
    <r>
      <rPr>
        <sz val="9"/>
        <color theme="1"/>
        <rFont val="Arial"/>
        <family val="2"/>
      </rPr>
      <t>De inkluderede sandjorde i denne gruppe er alle udtaget relativt terrænnært og/eller som sandlag indlejret i moræneler (evt. morænesand). De geologiske beskrivelser er varierende og fællestræk for jordene er, at sandindholdet er den største kornstørrelsesfraktion (60-85%) og indholdet af organisk kulstof er relativt højt i forhold til en typisk magasinsand (foc &gt;0,005).</t>
    </r>
  </si>
  <si>
    <r>
      <rPr>
        <b/>
        <sz val="9"/>
        <color theme="1"/>
        <rFont val="Arial"/>
        <family val="2"/>
      </rPr>
      <t>Magasinsand:</t>
    </r>
    <r>
      <rPr>
        <sz val="9"/>
        <color theme="1"/>
        <rFont val="Arial"/>
        <family val="2"/>
      </rPr>
      <t xml:space="preserve"> Der indgår kun én sand udtaget fra et primært magasin. Sandet er relativt finkornet og har et meget lavt indhold af organisk kulstof (foc &lt;0,001). Da der kun indgår denne ene magasinsand, er den grupperet sammen med kalk (foc &lt;0,002), der overordnet set viste lignende sorption. Der er ikke inkluderet nogle sandjorde med et indhold af organisk kulstof mellem 0,001-0,005.</t>
    </r>
  </si>
  <si>
    <r>
      <rPr>
        <b/>
        <sz val="9"/>
        <color theme="1"/>
        <rFont val="Arial"/>
        <family val="2"/>
      </rPr>
      <t>Kalk:</t>
    </r>
    <r>
      <rPr>
        <sz val="9"/>
        <color theme="1"/>
        <rFont val="Arial"/>
        <family val="2"/>
      </rPr>
      <t xml:space="preserve"> De inkluderede kalk er af typen Danienkalk (hovedsageligt bryozokalk) med et lavt indhold af organisk kulstof (foc &lt;0,002).</t>
    </r>
  </si>
  <si>
    <r>
      <t>L</t>
    </r>
    <r>
      <rPr>
        <vertAlign val="subscript"/>
        <sz val="10"/>
        <color theme="1"/>
        <rFont val="Aptos Narrow"/>
        <family val="2"/>
        <scheme val="minor"/>
      </rPr>
      <t>v</t>
    </r>
    <r>
      <rPr>
        <sz val="10"/>
        <color theme="1"/>
        <rFont val="Aptos Narrow"/>
        <family val="2"/>
        <scheme val="minor"/>
      </rPr>
      <t>/(L</t>
    </r>
    <r>
      <rPr>
        <vertAlign val="subscript"/>
        <sz val="10"/>
        <color theme="1"/>
        <rFont val="Aptos Narrow"/>
        <family val="2"/>
        <scheme val="minor"/>
      </rPr>
      <t>v</t>
    </r>
    <r>
      <rPr>
        <sz val="10"/>
        <color theme="1"/>
        <rFont val="Aptos Narrow"/>
        <family val="2"/>
        <scheme val="minor"/>
      </rPr>
      <t>+L</t>
    </r>
    <r>
      <rPr>
        <vertAlign val="subscript"/>
        <sz val="10"/>
        <color theme="1"/>
        <rFont val="Aptos Narrow"/>
        <family val="2"/>
        <scheme val="minor"/>
      </rPr>
      <t>l</t>
    </r>
    <r>
      <rPr>
        <sz val="10"/>
        <color theme="1"/>
        <rFont val="Aptos Narrow"/>
        <family val="2"/>
        <scheme val="minor"/>
      </rPr>
      <t>)</t>
    </r>
  </si>
  <si>
    <r>
      <t>[(V</t>
    </r>
    <r>
      <rPr>
        <vertAlign val="subscript"/>
        <sz val="10"/>
        <color theme="1"/>
        <rFont val="Aptos Narrow"/>
        <family val="2"/>
        <scheme val="minor"/>
      </rPr>
      <t>v</t>
    </r>
    <r>
      <rPr>
        <sz val="10"/>
        <color theme="1"/>
        <rFont val="Aptos Narrow"/>
        <family val="2"/>
        <scheme val="minor"/>
      </rPr>
      <t>+V</t>
    </r>
    <r>
      <rPr>
        <vertAlign val="subscript"/>
        <sz val="10"/>
        <color theme="1"/>
        <rFont val="Aptos Narrow"/>
        <family val="2"/>
        <scheme val="minor"/>
      </rPr>
      <t>l</t>
    </r>
    <r>
      <rPr>
        <sz val="10"/>
        <color theme="1"/>
        <rFont val="Aptos Narrow"/>
        <family val="2"/>
        <scheme val="minor"/>
      </rPr>
      <t>)/V</t>
    </r>
    <r>
      <rPr>
        <vertAlign val="subscript"/>
        <sz val="10"/>
        <color theme="1"/>
        <rFont val="Aptos Narrow"/>
        <family val="2"/>
        <scheme val="minor"/>
      </rPr>
      <t>t</t>
    </r>
    <r>
      <rPr>
        <sz val="10"/>
        <color theme="1"/>
        <rFont val="Aptos Narrow"/>
        <family val="2"/>
        <scheme val="minor"/>
      </rPr>
      <t>]</t>
    </r>
  </si>
  <si>
    <r>
      <t>n (V</t>
    </r>
    <r>
      <rPr>
        <i/>
        <vertAlign val="subscript"/>
        <sz val="10"/>
        <color theme="1"/>
        <rFont val="Aptos Narrow"/>
        <family val="2"/>
        <scheme val="minor"/>
      </rPr>
      <t>v</t>
    </r>
    <r>
      <rPr>
        <i/>
        <sz val="10"/>
        <color theme="1"/>
        <rFont val="Aptos Narrow"/>
        <family val="2"/>
        <scheme val="minor"/>
      </rPr>
      <t>+V</t>
    </r>
    <r>
      <rPr>
        <i/>
        <vertAlign val="subscript"/>
        <sz val="10"/>
        <color theme="1"/>
        <rFont val="Aptos Narrow"/>
        <family val="2"/>
        <scheme val="minor"/>
      </rPr>
      <t>l</t>
    </r>
    <r>
      <rPr>
        <i/>
        <sz val="10"/>
        <color theme="1"/>
        <rFont val="Aptos Narrow"/>
        <family val="2"/>
        <scheme val="minor"/>
      </rPr>
      <t>/V</t>
    </r>
    <r>
      <rPr>
        <i/>
        <vertAlign val="subscript"/>
        <sz val="10"/>
        <color theme="1"/>
        <rFont val="Aptos Narrow"/>
        <family val="2"/>
        <scheme val="minor"/>
      </rPr>
      <t>t</t>
    </r>
    <r>
      <rPr>
        <i/>
        <sz val="10"/>
        <color theme="1"/>
        <rFont val="Aptos Narrow"/>
        <family val="2"/>
        <scheme val="minor"/>
      </rPr>
      <t>)</t>
    </r>
  </si>
  <si>
    <r>
      <t>(V</t>
    </r>
    <r>
      <rPr>
        <vertAlign val="subscript"/>
        <sz val="10"/>
        <color theme="1" tint="0.499984740745262"/>
        <rFont val="Aptos Narrow"/>
        <family val="2"/>
        <scheme val="minor"/>
      </rPr>
      <t>v</t>
    </r>
    <r>
      <rPr>
        <sz val="10"/>
        <color theme="1" tint="0.499984740745262"/>
        <rFont val="Aptos Narrow"/>
        <family val="2"/>
        <scheme val="minor"/>
      </rPr>
      <t>+V</t>
    </r>
    <r>
      <rPr>
        <vertAlign val="subscript"/>
        <sz val="10"/>
        <color theme="1" tint="0.499984740745262"/>
        <rFont val="Aptos Narrow"/>
        <family val="2"/>
        <scheme val="minor"/>
      </rPr>
      <t>l</t>
    </r>
    <r>
      <rPr>
        <sz val="10"/>
        <color theme="1" tint="0.499984740745262"/>
        <rFont val="Aptos Narrow"/>
        <family val="2"/>
        <scheme val="minor"/>
      </rPr>
      <t>)/V</t>
    </r>
    <r>
      <rPr>
        <vertAlign val="subscript"/>
        <sz val="10"/>
        <color theme="1" tint="0.499984740745262"/>
        <rFont val="Aptos Narrow"/>
        <family val="2"/>
        <scheme val="minor"/>
      </rPr>
      <t>t</t>
    </r>
  </si>
  <si>
    <r>
      <rPr>
        <b/>
        <sz val="9"/>
        <color theme="1"/>
        <rFont val="Arial"/>
        <family val="2"/>
      </rPr>
      <t>Smeltevandssand (foc&lt;0,002):</t>
    </r>
    <r>
      <rPr>
        <sz val="9"/>
        <color theme="1"/>
        <rFont val="Arial"/>
        <family val="2"/>
      </rPr>
      <t xml:space="preserve"> Er grupperet sammen med magasinsand. Grovsand og grus må forventes at have Kd-værdier svarende til sand (eller lavere).</t>
    </r>
  </si>
  <si>
    <t>(0,25)</t>
  </si>
  <si>
    <t>(0,35)</t>
  </si>
  <si>
    <t>(0,33)</t>
  </si>
  <si>
    <t>(0,30)</t>
  </si>
  <si>
    <t>Woessner, W.W., E.P. Poeter. The Groundwater Project (2024)
https://gw-project.org/download/hydrogeologic-properties-of-earth-materials-and-principles-of-groundwater-flow/?wpdmdl=1044&amp;refresh=6862830ac52a51751286538</t>
  </si>
  <si>
    <t>Brusseau, M.L.,  S. Van Glubt (2021). Chemosphere, 281, 130829
https://doi.org/10.1016/j.chemosphere.2021.130829</t>
  </si>
  <si>
    <t>Miljøprojekt 2286 (2025).</t>
  </si>
  <si>
    <t>/9/</t>
  </si>
  <si>
    <t>The influence of molecular structure on PFAS adsorption at air-water interfaces in electrolyte solutions</t>
  </si>
  <si>
    <t>CompTox Chemicals Dashboard v2.5.3</t>
  </si>
  <si>
    <t>USEPA (2025). https://comptox.epa.gov/dashboard/</t>
  </si>
  <si>
    <t>/10/</t>
  </si>
  <si>
    <t>Bestemmelse af jord-vand fordelingskoefficienter (Kd) for 10 PFAS</t>
  </si>
  <si>
    <r>
      <t>(M</t>
    </r>
    <r>
      <rPr>
        <vertAlign val="subscript"/>
        <sz val="10"/>
        <color theme="1"/>
        <rFont val="Aptos Narrow"/>
        <family val="2"/>
        <scheme val="minor"/>
      </rPr>
      <t>p</t>
    </r>
    <r>
      <rPr>
        <sz val="10"/>
        <color theme="1"/>
        <rFont val="Aptos Narrow"/>
        <family val="2"/>
        <scheme val="minor"/>
      </rPr>
      <t>/M</t>
    </r>
    <r>
      <rPr>
        <vertAlign val="subscript"/>
        <sz val="10"/>
        <color theme="1"/>
        <rFont val="Aptos Narrow"/>
        <family val="2"/>
        <scheme val="minor"/>
      </rPr>
      <t>tot</t>
    </r>
    <r>
      <rPr>
        <sz val="10"/>
        <color theme="1"/>
        <rFont val="Aptos Narrow"/>
        <family val="2"/>
        <scheme val="minor"/>
      </rPr>
      <t>*</t>
    </r>
    <r>
      <rPr>
        <sz val="8"/>
        <color theme="1"/>
        <rFont val="Aptos Narrow"/>
        <family val="2"/>
        <scheme val="minor"/>
      </rPr>
      <t>100</t>
    </r>
    <r>
      <rPr>
        <sz val="10"/>
        <color theme="1"/>
        <rFont val="Aptos Narrow"/>
        <family val="2"/>
        <scheme val="minor"/>
      </rPr>
      <t>)</t>
    </r>
  </si>
  <si>
    <t>Betydende cifre</t>
  </si>
  <si>
    <t>Referencer:</t>
  </si>
  <si>
    <t>/11/</t>
  </si>
  <si>
    <t>PFAS concentrations in soil versus soil porewater: Mass distributions and the impact of adsorption at air-water interfaces</t>
  </si>
  <si>
    <t>Fjordbøge, A.S. (2025)
PFAS vidensopbygningsprojekt, Region H. DTU Sustain.</t>
  </si>
  <si>
    <t>Brusseau, M.L. &amp; Guo, B. (2022). Chemosphere, 302, 134938 https://doi.org/10.1016/j.chemosphere.2022.134938</t>
  </si>
  <si>
    <t>PieCharts1</t>
  </si>
  <si>
    <t>Kia og Kd</t>
  </si>
  <si>
    <t>PieCharts2</t>
  </si>
  <si>
    <t>Referenceliste</t>
  </si>
  <si>
    <t>Kia</t>
  </si>
  <si>
    <t>Aia</t>
  </si>
  <si>
    <r>
      <t xml:space="preserve">Selvom fanebladene er låst for redigering i ikke-hvide felter, er der mulighed for selv at tilføje hjælpeark, f.eks. til import af analyserapporter i det krævede format for indlæsning. Et </t>
    </r>
    <r>
      <rPr>
        <b/>
        <sz val="10"/>
        <color rgb="FFFFFFFF"/>
        <rFont val="Arial"/>
        <family val="2"/>
      </rPr>
      <t>TomtArk</t>
    </r>
    <r>
      <rPr>
        <sz val="10"/>
        <color rgb="FFFFFFFF"/>
        <rFont val="Arial"/>
        <family val="2"/>
      </rPr>
      <t xml:space="preserve"> er tilføjet til dette formål.</t>
    </r>
  </si>
  <si>
    <t>Værktøjet består af følgende faneblade:</t>
  </si>
  <si>
    <t>benyttes til indtastning af analyseresultater fra enten en jordprøve eller en vandprøve (porevand eller grundvand).</t>
  </si>
  <si>
    <r>
      <t xml:space="preserve">benyttes til valg af jordtype/jordrelaterede parametre, der dels henter fra et dataark med standard-værdier og dels tager udgangspunkt i målte værdier. Jordtyperne er udvalgt med udgangspunkt i jordtyper for hvilke der foreligger danske </t>
    </r>
    <r>
      <rPr>
        <i/>
        <sz val="9"/>
        <color theme="0"/>
        <rFont val="Arial"/>
        <family val="2"/>
      </rPr>
      <t>K</t>
    </r>
    <r>
      <rPr>
        <i/>
        <vertAlign val="subscript"/>
        <sz val="9"/>
        <color theme="0"/>
        <rFont val="Arial"/>
        <family val="2"/>
      </rPr>
      <t>d</t>
    </r>
    <r>
      <rPr>
        <sz val="9"/>
        <color theme="0"/>
        <rFont val="Arial"/>
        <family val="2"/>
      </rPr>
      <t>-værdier.</t>
    </r>
  </si>
  <si>
    <t>udskriftsark for PFAS-komponentfordeling for hver jordfase (porevand, jord og luft-vand grænseflade).</t>
  </si>
  <si>
    <t>udskriftsark for fasefordeling for hver PFAS-forbindelse.</t>
  </si>
  <si>
    <t>indeholder opslagslister med standard jordtypeparametre, som benyttes, hvis der ikke indtastes konkrete data. Der er anført parameterintervaller som f.eks. kan benyttes til en følsomhedsanalyse. Fanebladet indeholder også en beskrivelse af de karakteristika for beregnerens jordtyper.</t>
  </si>
  <si>
    <t>indeholder nøglereferencer, anvendt i udvikling af værktøjet.</t>
  </si>
  <si>
    <r>
      <t>beregner fasefordelingen, baseret på analyseresultater, jordrelaterede parametre og bagvedliggende ark for PFAS-specifikke parametre (</t>
    </r>
    <r>
      <rPr>
        <i/>
        <sz val="9"/>
        <color theme="0"/>
        <rFont val="Arial"/>
        <family val="2"/>
      </rPr>
      <t>K</t>
    </r>
    <r>
      <rPr>
        <i/>
        <vertAlign val="subscript"/>
        <sz val="9"/>
        <color theme="0"/>
        <rFont val="Arial"/>
        <family val="2"/>
      </rPr>
      <t>ia</t>
    </r>
    <r>
      <rPr>
        <sz val="9"/>
        <color theme="0"/>
        <rFont val="Arial"/>
        <family val="2"/>
      </rPr>
      <t xml:space="preserve"> og </t>
    </r>
    <r>
      <rPr>
        <i/>
        <sz val="9"/>
        <color theme="0"/>
        <rFont val="Arial"/>
        <family val="2"/>
      </rPr>
      <t>K</t>
    </r>
    <r>
      <rPr>
        <i/>
        <vertAlign val="subscript"/>
        <sz val="9"/>
        <color theme="0"/>
        <rFont val="Arial"/>
        <family val="2"/>
      </rPr>
      <t>d</t>
    </r>
    <r>
      <rPr>
        <sz val="9"/>
        <color theme="0"/>
        <rFont val="Arial"/>
        <family val="2"/>
      </rPr>
      <t xml:space="preserve">). Der er mulighed for at udføre en følsomhedsanalyse (Lav/Høj værdi) for </t>
    </r>
    <r>
      <rPr>
        <i/>
        <sz val="9"/>
        <color theme="0"/>
        <rFont val="Arial"/>
        <family val="2"/>
      </rPr>
      <t>K</t>
    </r>
    <r>
      <rPr>
        <i/>
        <vertAlign val="subscript"/>
        <sz val="9"/>
        <color theme="0"/>
        <rFont val="Arial"/>
        <family val="2"/>
      </rPr>
      <t>ia</t>
    </r>
    <r>
      <rPr>
        <sz val="9"/>
        <color theme="0"/>
        <rFont val="Arial"/>
        <family val="2"/>
      </rPr>
      <t xml:space="preserve"> og </t>
    </r>
    <r>
      <rPr>
        <i/>
        <sz val="9"/>
        <color theme="0"/>
        <rFont val="Arial"/>
        <family val="2"/>
      </rPr>
      <t>K</t>
    </r>
    <r>
      <rPr>
        <i/>
        <vertAlign val="subscript"/>
        <sz val="9"/>
        <color theme="0"/>
        <rFont val="Arial"/>
        <family val="2"/>
      </rPr>
      <t>d</t>
    </r>
    <r>
      <rPr>
        <sz val="9"/>
        <color theme="0"/>
        <rFont val="Arial"/>
        <family val="2"/>
      </rPr>
      <t>.</t>
    </r>
  </si>
  <si>
    <r>
      <t xml:space="preserve">indeholder opslagslister med </t>
    </r>
    <r>
      <rPr>
        <i/>
        <sz val="9"/>
        <color theme="0"/>
        <rFont val="Arial"/>
        <family val="2"/>
      </rPr>
      <t>K</t>
    </r>
    <r>
      <rPr>
        <i/>
        <vertAlign val="subscript"/>
        <sz val="9"/>
        <color theme="0"/>
        <rFont val="Arial"/>
        <family val="2"/>
      </rPr>
      <t>ia</t>
    </r>
    <r>
      <rPr>
        <sz val="9"/>
        <color theme="0"/>
        <rFont val="Arial"/>
        <family val="2"/>
      </rPr>
      <t xml:space="preserve">- og </t>
    </r>
    <r>
      <rPr>
        <i/>
        <sz val="9"/>
        <color theme="0"/>
        <rFont val="Arial"/>
        <family val="2"/>
      </rPr>
      <t>K</t>
    </r>
    <r>
      <rPr>
        <i/>
        <vertAlign val="subscript"/>
        <sz val="9"/>
        <color theme="0"/>
        <rFont val="Arial"/>
        <family val="2"/>
      </rPr>
      <t>d</t>
    </r>
    <r>
      <rPr>
        <sz val="9"/>
        <color theme="0"/>
        <rFont val="Arial"/>
        <family val="2"/>
      </rPr>
      <t>-værdier fordelt på jordtyper; herunder med forslag til værdier (Høj/Lav) der kan benyttes i en følsomhedsanalyse.</t>
    </r>
  </si>
  <si>
    <r>
      <t xml:space="preserve">indeholder baggrundsinformation om </t>
    </r>
    <r>
      <rPr>
        <i/>
        <sz val="9"/>
        <color theme="0"/>
        <rFont val="Arial"/>
        <family val="2"/>
      </rPr>
      <t>K</t>
    </r>
    <r>
      <rPr>
        <i/>
        <vertAlign val="subscript"/>
        <sz val="9"/>
        <color theme="0"/>
        <rFont val="Arial"/>
        <family val="2"/>
      </rPr>
      <t>ia</t>
    </r>
    <r>
      <rPr>
        <sz val="9"/>
        <color theme="0"/>
        <rFont val="Arial"/>
        <family val="2"/>
      </rPr>
      <t xml:space="preserve"> fra Miljøprojekt 2286 (2025), og baggrundsinformation vedr. relationerne til følsomhedsanalyse for </t>
    </r>
    <r>
      <rPr>
        <i/>
        <sz val="9"/>
        <color theme="0"/>
        <rFont val="Arial"/>
        <family val="2"/>
      </rPr>
      <t>K</t>
    </r>
    <r>
      <rPr>
        <i/>
        <vertAlign val="subscript"/>
        <sz val="9"/>
        <color theme="0"/>
        <rFont val="Arial"/>
        <family val="2"/>
      </rPr>
      <t>ia</t>
    </r>
    <r>
      <rPr>
        <sz val="9"/>
        <color theme="0"/>
        <rFont val="Arial"/>
        <family val="2"/>
      </rPr>
      <t>.</t>
    </r>
  </si>
  <si>
    <r>
      <t>Formel2 (</t>
    </r>
    <r>
      <rPr>
        <b/>
        <i/>
        <sz val="10"/>
        <color theme="1"/>
        <rFont val="Aptos Narrow"/>
        <family val="2"/>
        <scheme val="minor"/>
      </rPr>
      <t>ler</t>
    </r>
    <r>
      <rPr>
        <i/>
        <sz val="10"/>
        <color theme="1"/>
        <rFont val="Aptos Narrow"/>
        <family val="2"/>
        <scheme val="minor"/>
      </rPr>
      <t>)</t>
    </r>
  </si>
  <si>
    <r>
      <t>Formel1 (</t>
    </r>
    <r>
      <rPr>
        <b/>
        <i/>
        <sz val="10"/>
        <color theme="1"/>
        <rFont val="Aptos Narrow"/>
        <family val="2"/>
        <scheme val="minor"/>
      </rPr>
      <t>sand</t>
    </r>
    <r>
      <rPr>
        <i/>
        <sz val="10"/>
        <color theme="1"/>
        <rFont val="Aptos Narrow"/>
        <family val="2"/>
        <scheme val="minor"/>
      </rPr>
      <t>)</t>
    </r>
  </si>
  <si>
    <r>
      <t>(µg/L</t>
    </r>
    <r>
      <rPr>
        <vertAlign val="subscript"/>
        <sz val="12"/>
        <color theme="1"/>
        <rFont val="Aptos Narrow"/>
        <family val="2"/>
        <scheme val="minor"/>
      </rPr>
      <t>w</t>
    </r>
    <r>
      <rPr>
        <sz val="12"/>
        <color theme="1"/>
        <rFont val="Aptos Narrow"/>
        <family val="2"/>
        <scheme val="minor"/>
      </rPr>
      <t>)</t>
    </r>
  </si>
  <si>
    <t>Estimerede resultater
(afrundede)</t>
  </si>
  <si>
    <t>R (ikke afrundet)</t>
  </si>
  <si>
    <t xml:space="preserve">Retardationsfaktor (-) </t>
  </si>
  <si>
    <t>Input:</t>
  </si>
  <si>
    <t>Vand (ng/L)</t>
  </si>
  <si>
    <t>Ct</t>
  </si>
  <si>
    <t>F4</t>
  </si>
  <si>
    <t>Mt/Mp</t>
  </si>
  <si>
    <t>Mt/R·q</t>
  </si>
  <si>
    <t>F5/1000</t>
  </si>
  <si>
    <t>Cw*Kd</t>
  </si>
  <si>
    <t>(Mt-Mw-Ms)/(Aia·10)</t>
  </si>
  <si>
    <t>Mt</t>
  </si>
  <si>
    <t>Ct·Mp</t>
  </si>
  <si>
    <t>Cw·R·q</t>
  </si>
  <si>
    <t>Mw</t>
  </si>
  <si>
    <t>Cw·q</t>
  </si>
  <si>
    <t>Ms</t>
  </si>
  <si>
    <t>Cs·rb</t>
  </si>
  <si>
    <t>Mia</t>
  </si>
  <si>
    <t>Cia·Aia*10</t>
  </si>
  <si>
    <t>Fasefordelingsberegninger</t>
  </si>
  <si>
    <t>PFASen er baseret på den nyeste viden om PFAS bindingsprocesser i umættet og mættet zone, herunder estimeringsformler og parameterværdier for danske forhold. Der arbejdes løbende med at forbedre vidensgrundlaget, så programmet vil blive opdateret i takt med nye data og bedre forståelse af de relevante processer. Det er derfor vigtigt at sikre sig, at man arbejder i den nyeste version som altid vil være den, der ligger på Region Hovedstadens hjemmeside.</t>
  </si>
  <si>
    <t>Det understreges, at værktøjet er et hjælpeværktøj til fortolkning af PFAS-fasefordelinger, så alle fordelinger er estimater og ikke præcise fordelinger.</t>
  </si>
  <si>
    <t>Værktøjet stilles til rådighed for alle og vil løbende blive opdateret. Region Hovedstaden fralægger sig ethvert ansvar for fejl eller mangler, der måtte være i værktøjet.</t>
  </si>
  <si>
    <t>Dette værktøj ”PFASen” har til formål at understøtte og systematisere grundlaget for fasefordelingsberegninger for PFAS-forbindelser. Værktøjet knytter sig til Region Hovedstadens paradigmer for PFAS-undersøgelser i jord, grundvand og porevand.</t>
  </si>
  <si>
    <t>Bemærkning</t>
  </si>
  <si>
    <t>Indarbejdet i version</t>
  </si>
  <si>
    <t>Udført</t>
  </si>
  <si>
    <t>Ændring</t>
  </si>
  <si>
    <t>Ændringslog</t>
  </si>
  <si>
    <t>indeholder en liste med ændringer foretaget siden udgivelse af version 2.3</t>
  </si>
  <si>
    <t>Beregningsprincipper og standarddata er valgt med henblik på at estimere realistiske fasefordelinger, og kan således ikke sammenlignes med fasefordelingsberegninger i Miljøstyrelsens JAGG-model (via Fugacitetsmodulet). Dette skyldes primært, at beregningsprincipper og standarddata i JAGG er målrettet risikovurderinger, og dermed bygger på konservative beregningsprincipper, mens nærværende værktøj er beregnet på at estimere realistiske fasefordelinger. Desuden adskiller fasefordelingsprincipperne i JAGG-modellen sig fra principperne i nærværende værktøj, ved at JAGG-modellen udelukkende bygger på sorption til jordens fraktion af organisk kulstof (foc). I PFASen er beregningen af sorption baseret på målinger af sorptionskoefficienter for danske jorde og sedimenter, samt bindingen af PFAS-forbindelser til jordens luft-vand grænseflade under umættede forhold.</t>
  </si>
  <si>
    <t>Forklaring (Ct vs. Cs)</t>
  </si>
  <si>
    <t>2.4</t>
  </si>
  <si>
    <t>Kan have haft konsekvens ift. tolkning af output (beregninger uændrede)</t>
  </si>
  <si>
    <r>
      <t xml:space="preserve">Fanen </t>
    </r>
    <r>
      <rPr>
        <b/>
        <sz val="11"/>
        <color rgb="FF002060"/>
        <rFont val="Calibri"/>
        <family val="2"/>
      </rPr>
      <t>Introduktion</t>
    </r>
    <r>
      <rPr>
        <sz val="11"/>
        <color theme="1"/>
        <rFont val="Calibri"/>
        <family val="2"/>
      </rPr>
      <t xml:space="preserve"> er ændret til </t>
    </r>
    <r>
      <rPr>
        <b/>
        <sz val="11"/>
        <color rgb="FF002060"/>
        <rFont val="Calibri"/>
        <family val="2"/>
      </rPr>
      <t>Intro</t>
    </r>
    <r>
      <rPr>
        <sz val="11"/>
        <color theme="1"/>
        <rFont val="Calibri"/>
        <family val="2"/>
      </rPr>
      <t xml:space="preserve"> for at alle faner kan ses på en bærbar 17" skærm</t>
    </r>
  </si>
  <si>
    <t>Kosmetik</t>
  </si>
  <si>
    <r>
      <t xml:space="preserve">I </t>
    </r>
    <r>
      <rPr>
        <b/>
        <sz val="11"/>
        <color rgb="FF002060"/>
        <rFont val="Calibri"/>
        <family val="2"/>
      </rPr>
      <t>PieCharts1</t>
    </r>
    <r>
      <rPr>
        <sz val="11"/>
        <color theme="1"/>
        <rFont val="Calibri"/>
        <family val="2"/>
      </rPr>
      <t xml:space="preserve"> er de to sidste PFAS-forbindelser (6:2 FTS og PFOSA) nu inkluderet i de tre pie charts</t>
    </r>
  </si>
  <si>
    <t>Ingen</t>
  </si>
  <si>
    <t>Rullelister</t>
  </si>
  <si>
    <t>Oprettelse og redigering: Ctrl+F3</t>
  </si>
  <si>
    <t>Anvendelse af rulleliste: Data -&gt; Datavalidering -&gt; Datavalidering</t>
  </si>
  <si>
    <r>
      <t xml:space="preserve">I </t>
    </r>
    <r>
      <rPr>
        <b/>
        <sz val="11"/>
        <color rgb="FF002060"/>
        <rFont val="Calibri"/>
        <family val="2"/>
      </rPr>
      <t>Jordtype</t>
    </r>
    <r>
      <rPr>
        <sz val="11"/>
        <color theme="1"/>
        <rFont val="Calibri"/>
        <family val="2"/>
      </rPr>
      <t xml:space="preserve"> er der tilføjet "Ingen" til zone- og jordtypevalg (standardindstilling af arket)</t>
    </r>
  </si>
  <si>
    <t>Brugerhjælp rettet mod utilsigtede fejlberegninger</t>
  </si>
  <si>
    <t>Den relative fordeling af hver PFAS-forbindelse beregnes for et enhedsvolumen på 1 L:</t>
  </si>
  <si>
    <t>Faktaboks:</t>
  </si>
  <si>
    <r>
      <rPr>
        <b/>
        <i/>
        <sz val="13"/>
        <color theme="1"/>
        <rFont val="Calibri"/>
        <family val="2"/>
      </rPr>
      <t>C</t>
    </r>
    <r>
      <rPr>
        <b/>
        <i/>
        <vertAlign val="subscript"/>
        <sz val="13"/>
        <color theme="1"/>
        <rFont val="Calibri"/>
        <family val="2"/>
      </rPr>
      <t>t</t>
    </r>
    <r>
      <rPr>
        <sz val="13"/>
        <color theme="1"/>
        <rFont val="Calibri"/>
        <family val="2"/>
      </rPr>
      <t xml:space="preserve"> er den </t>
    </r>
    <r>
      <rPr>
        <u/>
        <sz val="13"/>
        <color theme="1"/>
        <rFont val="Calibri"/>
        <family val="2"/>
      </rPr>
      <t>totale stofmængde</t>
    </r>
    <r>
      <rPr>
        <sz val="13"/>
        <color theme="1"/>
        <rFont val="Calibri"/>
        <family val="2"/>
      </rPr>
      <t xml:space="preserve"> i en jord</t>
    </r>
    <r>
      <rPr>
        <u/>
        <sz val="13"/>
        <color theme="1"/>
        <rFont val="Calibri"/>
        <family val="2"/>
      </rPr>
      <t>prøve</t>
    </r>
    <r>
      <rPr>
        <sz val="13"/>
        <color theme="1"/>
        <rFont val="Calibri"/>
        <family val="2"/>
      </rPr>
      <t xml:space="preserve"> (fordelt på partikler, porevand og luft-vand grænseflade).</t>
    </r>
  </si>
  <si>
    <r>
      <t xml:space="preserve">Fordelingen afhænger af </t>
    </r>
    <r>
      <rPr>
        <b/>
        <sz val="13"/>
        <color theme="1"/>
        <rFont val="Calibri"/>
        <family val="2"/>
      </rPr>
      <t>jordtype</t>
    </r>
    <r>
      <rPr>
        <sz val="13"/>
        <color theme="1"/>
        <rFont val="Calibri"/>
        <family val="2"/>
      </rPr>
      <t xml:space="preserve"> (relative volumenandele vand, jord og luft i jordprøven) og </t>
    </r>
    <r>
      <rPr>
        <b/>
        <sz val="13"/>
        <color theme="1"/>
        <rFont val="Calibri"/>
        <family val="2"/>
      </rPr>
      <t>PFAS-forbindelse</t>
    </r>
    <r>
      <rPr>
        <sz val="13"/>
        <color theme="1"/>
        <rFont val="Calibri"/>
        <family val="2"/>
      </rPr>
      <t xml:space="preserve"> (fysisk-kemiske egenskaber).</t>
    </r>
  </si>
  <si>
    <t>Eksempel på fasefordeling for to PFAS-forbindelser i samme jordtype.</t>
  </si>
  <si>
    <r>
      <t xml:space="preserve">Der er tilføjet en fane </t>
    </r>
    <r>
      <rPr>
        <b/>
        <sz val="11"/>
        <rFont val="Calibri"/>
        <family val="2"/>
      </rPr>
      <t>Forklaring (Ct vs. Cs)</t>
    </r>
    <r>
      <rPr>
        <sz val="11"/>
        <rFont val="Calibri"/>
        <family val="2"/>
      </rPr>
      <t>, hvor forskellen på de to "jordkoncentrationer" er forklaret</t>
    </r>
  </si>
  <si>
    <t>Brugervenlighed ift. viderbearbejdning af resultaterne</t>
  </si>
  <si>
    <t>Brugerhjælp ift. forståelse</t>
  </si>
  <si>
    <r>
      <t xml:space="preserve">Teksten i </t>
    </r>
    <r>
      <rPr>
        <b/>
        <sz val="11"/>
        <color rgb="FF002060"/>
        <rFont val="Calibri"/>
        <family val="2"/>
      </rPr>
      <t>Intro</t>
    </r>
    <r>
      <rPr>
        <sz val="11"/>
        <color theme="1"/>
        <rFont val="Calibri"/>
        <family val="2"/>
      </rPr>
      <t>-fanen er ændret, og afspejler nu at værktøjet har fået navn samt to ekstra tilføjede faner</t>
    </r>
  </si>
  <si>
    <r>
      <t xml:space="preserve">Der er tilføjet en en fane </t>
    </r>
    <r>
      <rPr>
        <b/>
        <sz val="11"/>
        <color theme="1"/>
        <rFont val="Calibri"/>
        <family val="2"/>
      </rPr>
      <t>Ændringslog</t>
    </r>
    <r>
      <rPr>
        <sz val="11"/>
        <color theme="1"/>
        <rFont val="Calibri"/>
        <family val="2"/>
      </rPr>
      <t xml:space="preserve"> (denne fane)</t>
    </r>
  </si>
  <si>
    <t>Brugervenlighed</t>
  </si>
  <si>
    <r>
      <rPr>
        <b/>
        <i/>
        <sz val="13"/>
        <color theme="1"/>
        <rFont val="Calibri"/>
        <family val="2"/>
      </rPr>
      <t>C</t>
    </r>
    <r>
      <rPr>
        <b/>
        <i/>
        <vertAlign val="subscript"/>
        <sz val="13"/>
        <color theme="1"/>
        <rFont val="Calibri"/>
        <family val="2"/>
      </rPr>
      <t>t</t>
    </r>
    <r>
      <rPr>
        <sz val="13"/>
        <color theme="1"/>
        <rFont val="Calibri"/>
        <family val="2"/>
      </rPr>
      <t xml:space="preserve"> er den koncentration, som kommer fra analyserapporten, og som kan sammenlignes med Miljøstyrelsens kvalitetskriterier.</t>
    </r>
  </si>
  <si>
    <r>
      <rPr>
        <b/>
        <i/>
        <sz val="13"/>
        <color theme="1"/>
        <rFont val="Calibri"/>
        <family val="2"/>
      </rPr>
      <t>C</t>
    </r>
    <r>
      <rPr>
        <b/>
        <i/>
        <vertAlign val="subscript"/>
        <sz val="13"/>
        <color theme="1"/>
        <rFont val="Calibri"/>
        <family val="2"/>
      </rPr>
      <t>s</t>
    </r>
    <r>
      <rPr>
        <sz val="13"/>
        <color theme="1"/>
        <rFont val="Calibri"/>
        <family val="2"/>
      </rPr>
      <t xml:space="preserve"> er den estimerede koncentration (andel af </t>
    </r>
    <r>
      <rPr>
        <b/>
        <i/>
        <sz val="13"/>
        <color theme="1"/>
        <rFont val="Calibri"/>
        <family val="2"/>
      </rPr>
      <t>C</t>
    </r>
    <r>
      <rPr>
        <b/>
        <i/>
        <vertAlign val="subscript"/>
        <sz val="13"/>
        <color theme="1"/>
        <rFont val="Calibri"/>
        <family val="2"/>
      </rPr>
      <t>t</t>
    </r>
    <r>
      <rPr>
        <sz val="13"/>
        <color theme="1"/>
        <rFont val="Calibri"/>
        <family val="2"/>
      </rPr>
      <t xml:space="preserve">), som er sorberet til partiklerne. </t>
    </r>
    <r>
      <rPr>
        <b/>
        <i/>
        <sz val="13"/>
        <color theme="1"/>
        <rFont val="Calibri"/>
        <family val="2"/>
      </rPr>
      <t>C</t>
    </r>
    <r>
      <rPr>
        <b/>
        <i/>
        <vertAlign val="subscript"/>
        <sz val="13"/>
        <color theme="1"/>
        <rFont val="Calibri"/>
        <family val="2"/>
      </rPr>
      <t>s</t>
    </r>
    <r>
      <rPr>
        <sz val="13"/>
        <color theme="1"/>
        <rFont val="Calibri"/>
        <family val="2"/>
      </rPr>
      <t xml:space="preserve"> kan </t>
    </r>
    <r>
      <rPr>
        <u/>
        <sz val="13"/>
        <color theme="1"/>
        <rFont val="Calibri"/>
        <family val="2"/>
      </rPr>
      <t>ikke</t>
    </r>
    <r>
      <rPr>
        <sz val="13"/>
        <color theme="1"/>
        <rFont val="Calibri"/>
        <family val="2"/>
      </rPr>
      <t xml:space="preserve"> sammenlignes med Miljøstyrelsens kvalitetskriterier.</t>
    </r>
  </si>
  <si>
    <t>PFASen beregner den teoretiske fordeling af den totale stofmængde imellem de forskellige faser i jorden.</t>
  </si>
  <si>
    <t>I den mættede zone (MZ) er den totale stofmængde fordelt på partikler og grundvand.</t>
  </si>
  <si>
    <r>
      <t>Hvad er  forskellen på jordkoncentration, C</t>
    </r>
    <r>
      <rPr>
        <b/>
        <u/>
        <vertAlign val="subscript"/>
        <sz val="16"/>
        <rFont val="Aptos Narrow"/>
        <family val="2"/>
        <scheme val="minor"/>
      </rPr>
      <t>t</t>
    </r>
    <r>
      <rPr>
        <b/>
        <u/>
        <sz val="16"/>
        <rFont val="Aptos Narrow"/>
        <family val="2"/>
        <scheme val="minor"/>
      </rPr>
      <t>, og sorberet koncentration, C</t>
    </r>
    <r>
      <rPr>
        <b/>
        <u/>
        <vertAlign val="subscript"/>
        <sz val="16"/>
        <rFont val="Aptos Narrow"/>
        <family val="2"/>
        <scheme val="minor"/>
      </rPr>
      <t>s</t>
    </r>
    <r>
      <rPr>
        <b/>
        <u/>
        <sz val="16"/>
        <rFont val="Aptos Narrow"/>
        <family val="2"/>
        <scheme val="minor"/>
      </rPr>
      <t>?</t>
    </r>
  </si>
  <si>
    <t>Sporbarhed af eventuelle udprint</t>
  </si>
  <si>
    <t>Der er tilføjet versionsnummer af PFASen til alle faner</t>
  </si>
  <si>
    <t>TS (60-95%)</t>
  </si>
  <si>
    <r>
      <t xml:space="preserve">I </t>
    </r>
    <r>
      <rPr>
        <b/>
        <sz val="11"/>
        <color rgb="FF002060"/>
        <rFont val="Calibri"/>
        <family val="2"/>
      </rPr>
      <t>Jordtype</t>
    </r>
    <r>
      <rPr>
        <sz val="11"/>
        <color theme="1"/>
        <rFont val="Calibri"/>
        <family val="2"/>
      </rPr>
      <t xml:space="preserve"> er der ændret på nedre grænse for TS% (fra 25% til 60%) og tilføjet advarsel for organiske jordtyper</t>
    </r>
  </si>
  <si>
    <r>
      <t>(µg/dm</t>
    </r>
    <r>
      <rPr>
        <b/>
        <vertAlign val="superscript"/>
        <sz val="9"/>
        <color theme="1"/>
        <rFont val="Aptos Narrow"/>
        <family val="2"/>
        <scheme val="minor"/>
      </rPr>
      <t>2</t>
    </r>
    <r>
      <rPr>
        <b/>
        <sz val="9"/>
        <color theme="1"/>
        <rFont val="Aptos Narrow"/>
        <family val="2"/>
        <scheme val="minor"/>
      </rPr>
      <t>)</t>
    </r>
  </si>
  <si>
    <r>
      <t>C</t>
    </r>
    <r>
      <rPr>
        <b/>
        <vertAlign val="subscript"/>
        <sz val="9"/>
        <color theme="1"/>
        <rFont val="Aptos Narrow"/>
        <family val="2"/>
        <scheme val="minor"/>
      </rPr>
      <t>w</t>
    </r>
  </si>
  <si>
    <r>
      <t>C</t>
    </r>
    <r>
      <rPr>
        <b/>
        <vertAlign val="subscript"/>
        <sz val="9"/>
        <color theme="1"/>
        <rFont val="Aptos Narrow"/>
        <family val="2"/>
        <scheme val="minor"/>
      </rPr>
      <t>s</t>
    </r>
  </si>
  <si>
    <r>
      <rPr>
        <b/>
        <i/>
        <sz val="13"/>
        <color theme="1"/>
        <rFont val="Calibri"/>
        <family val="2"/>
      </rPr>
      <t>C</t>
    </r>
    <r>
      <rPr>
        <b/>
        <i/>
        <vertAlign val="subscript"/>
        <sz val="13"/>
        <color theme="1"/>
        <rFont val="Calibri"/>
        <family val="2"/>
      </rPr>
      <t>t</t>
    </r>
    <r>
      <rPr>
        <sz val="13"/>
        <color theme="1"/>
        <rFont val="Calibri"/>
        <family val="2"/>
      </rPr>
      <t xml:space="preserve"> har enheden [µg/kg TS] (masse i alle faser, normeret til kg TS i jordprøven).</t>
    </r>
  </si>
  <si>
    <r>
      <rPr>
        <b/>
        <i/>
        <sz val="13"/>
        <rFont val="Calibri"/>
        <family val="2"/>
      </rPr>
      <t>C</t>
    </r>
    <r>
      <rPr>
        <b/>
        <i/>
        <vertAlign val="subscript"/>
        <sz val="13"/>
        <rFont val="Calibri"/>
        <family val="2"/>
      </rPr>
      <t>s</t>
    </r>
    <r>
      <rPr>
        <sz val="13"/>
        <rFont val="Calibri"/>
        <family val="2"/>
      </rPr>
      <t xml:space="preserve"> [µg/kg TS] er sorberet koncentration (</t>
    </r>
    <r>
      <rPr>
        <sz val="13"/>
        <color theme="1"/>
        <rFont val="Calibri"/>
        <family val="2"/>
      </rPr>
      <t>masse</t>
    </r>
    <r>
      <rPr>
        <sz val="13"/>
        <rFont val="Calibri"/>
        <family val="2"/>
      </rPr>
      <t xml:space="preserve"> sorberet til jordpartiklerne pr. kg TS i enhedsvoluminet).</t>
    </r>
  </si>
  <si>
    <t>Vandindhold beregnes fra TS, ved given porøsitet</t>
  </si>
  <si>
    <r>
      <t xml:space="preserve">Enheden på </t>
    </r>
    <r>
      <rPr>
        <b/>
        <i/>
        <sz val="13"/>
        <color theme="1"/>
        <rFont val="Calibri"/>
        <family val="2"/>
      </rPr>
      <t>C</t>
    </r>
    <r>
      <rPr>
        <b/>
        <i/>
        <vertAlign val="subscript"/>
        <sz val="13"/>
        <color theme="1"/>
        <rFont val="Calibri"/>
        <family val="2"/>
      </rPr>
      <t>t</t>
    </r>
    <r>
      <rPr>
        <sz val="13"/>
        <color theme="1"/>
        <rFont val="Calibri"/>
        <family val="2"/>
      </rPr>
      <t xml:space="preserve"> og </t>
    </r>
    <r>
      <rPr>
        <b/>
        <i/>
        <sz val="13"/>
        <color theme="1"/>
        <rFont val="Calibri"/>
        <family val="2"/>
      </rPr>
      <t>C</t>
    </r>
    <r>
      <rPr>
        <b/>
        <i/>
        <vertAlign val="subscript"/>
        <sz val="13"/>
        <color theme="1"/>
        <rFont val="Calibri"/>
        <family val="2"/>
      </rPr>
      <t>s</t>
    </r>
    <r>
      <rPr>
        <sz val="13"/>
        <color theme="1"/>
        <rFont val="Calibri"/>
        <family val="2"/>
      </rPr>
      <t xml:space="preserve"> er begge [µg/kg TS].</t>
    </r>
  </si>
  <si>
    <r>
      <t xml:space="preserve">I </t>
    </r>
    <r>
      <rPr>
        <b/>
        <sz val="11"/>
        <color rgb="FF002060"/>
        <rFont val="Calibri"/>
        <family val="2"/>
      </rPr>
      <t xml:space="preserve">Jordparametre </t>
    </r>
    <r>
      <rPr>
        <sz val="11"/>
        <color theme="1"/>
        <rFont val="Calibri"/>
        <family val="2"/>
      </rPr>
      <t>er der tilføjet en forklarende tekst omkring modellens håndtering af organiske jordtyper</t>
    </r>
  </si>
  <si>
    <r>
      <t xml:space="preserve">Porøsitet beregnes fra TS </t>
    </r>
    <r>
      <rPr>
        <sz val="10"/>
        <color theme="1" tint="0.499984740745262"/>
        <rFont val="Calibri"/>
        <family val="2"/>
      </rPr>
      <t>(forslag hvis TS ikke haves)</t>
    </r>
  </si>
  <si>
    <r>
      <t xml:space="preserve">Porøsitet beregnes fra TS </t>
    </r>
    <r>
      <rPr>
        <sz val="10"/>
        <color theme="1" tint="0.499984740745262"/>
        <rFont val="Calibri"/>
        <family val="2"/>
      </rPr>
      <t>(forslag til matrixporøsitet hvis TS ikke haves)</t>
    </r>
  </si>
  <si>
    <r>
      <t xml:space="preserve">I </t>
    </r>
    <r>
      <rPr>
        <b/>
        <sz val="11"/>
        <color rgb="FF002060"/>
        <rFont val="Calibri"/>
        <family val="2"/>
      </rPr>
      <t xml:space="preserve">Jordparametre </t>
    </r>
    <r>
      <rPr>
        <sz val="11"/>
        <color theme="1"/>
        <rFont val="Calibri"/>
        <family val="2"/>
      </rPr>
      <t>er der tilføjet bemærkninger til umættede jordtyper om at modellen beregner vandindhold pba. TS%</t>
    </r>
  </si>
  <si>
    <t>Ensretning ift. resultattolkning på tværs af faner</t>
  </si>
  <si>
    <r>
      <t xml:space="preserve">I </t>
    </r>
    <r>
      <rPr>
        <b/>
        <sz val="11"/>
        <color rgb="FF002060"/>
        <rFont val="Calibri"/>
        <family val="2"/>
      </rPr>
      <t>PieCharts1</t>
    </r>
    <r>
      <rPr>
        <sz val="11"/>
        <color theme="1"/>
        <rFont val="Calibri"/>
        <family val="2"/>
      </rPr>
      <t xml:space="preserve"> er enhederne i tabellerne for jordfasen og luft-vand grænsefladen ændret til hhv. µg/kg TS og µg/dm</t>
    </r>
    <r>
      <rPr>
        <vertAlign val="superscript"/>
        <sz val="11"/>
        <color theme="1"/>
        <rFont val="Calibri"/>
        <family val="2"/>
      </rPr>
      <t>2</t>
    </r>
  </si>
  <si>
    <t>Oktober 2025</t>
  </si>
  <si>
    <r>
      <t>Jordparametre</t>
    </r>
    <r>
      <rPr>
        <sz val="11"/>
        <color theme="0"/>
        <rFont val="Arial"/>
        <family val="2"/>
      </rPr>
      <t xml:space="preserve"> </t>
    </r>
  </si>
  <si>
    <t>Værktøjet er udarbejdet af DMR for Region Hovedstaden, med fagligt input og sparring fra DTU Sustain.</t>
  </si>
  <si>
    <t>Tidl. visualisering kan være fejltolket</t>
  </si>
  <si>
    <r>
      <t xml:space="preserve">I </t>
    </r>
    <r>
      <rPr>
        <b/>
        <sz val="11"/>
        <color theme="1"/>
        <rFont val="Calibri"/>
        <family val="2"/>
      </rPr>
      <t>Intro</t>
    </r>
    <r>
      <rPr>
        <sz val="11"/>
        <color theme="1"/>
        <rFont val="Calibri"/>
        <family val="2"/>
      </rPr>
      <t xml:space="preserve"> er farverne ændret, så det er lettere at læse titlerne på fanebladene</t>
    </r>
  </si>
  <si>
    <t>Nedenstående er fra:</t>
  </si>
  <si>
    <t>Nedenstående er databehandling udført af DTU og DMR ifm. udarbejdelse af PFASen:</t>
  </si>
  <si>
    <r>
      <t xml:space="preserve">I </t>
    </r>
    <r>
      <rPr>
        <b/>
        <sz val="11"/>
        <color theme="1"/>
        <rFont val="Calibri"/>
        <family val="2"/>
      </rPr>
      <t>Aia</t>
    </r>
    <r>
      <rPr>
        <sz val="11"/>
        <color theme="1"/>
        <rFont val="Calibri"/>
        <family val="2"/>
      </rPr>
      <t xml:space="preserve"> er tilføjet, at venstre kolonne er fra Miljøprojekt 2286, 2025, mens højre kolonne er databehandling, udført af DTU og DMR</t>
    </r>
  </si>
  <si>
    <r>
      <t xml:space="preserve">indeholder baggrundsinformation om Aia fra Miljøprojekt 2286 (2025), og baggrundsinformation vedr. de anvendte relationer til standardværdier for </t>
    </r>
    <r>
      <rPr>
        <i/>
        <sz val="9"/>
        <color theme="0"/>
        <rFont val="Arial"/>
        <family val="2"/>
      </rPr>
      <t>A</t>
    </r>
    <r>
      <rPr>
        <i/>
        <vertAlign val="subscript"/>
        <sz val="9"/>
        <color theme="0"/>
        <rFont val="Arial"/>
        <family val="2"/>
      </rPr>
      <t>ia</t>
    </r>
    <r>
      <rPr>
        <sz val="9"/>
        <color theme="0"/>
        <rFont val="Arial"/>
        <family val="2"/>
      </rPr>
      <t xml:space="preserve"> (som funktion af jordtype og </t>
    </r>
    <r>
      <rPr>
        <i/>
        <sz val="9"/>
        <color theme="0"/>
        <rFont val="Arial"/>
        <family val="2"/>
      </rPr>
      <t>S</t>
    </r>
    <r>
      <rPr>
        <i/>
        <vertAlign val="subscript"/>
        <sz val="9"/>
        <color theme="0"/>
        <rFont val="Arial"/>
        <family val="2"/>
      </rPr>
      <t>w</t>
    </r>
    <r>
      <rPr>
        <sz val="9"/>
        <color theme="0"/>
        <rFont val="Arial"/>
        <family val="2"/>
      </rPr>
      <t>).</t>
    </r>
  </si>
  <si>
    <r>
      <rPr>
        <sz val="9"/>
        <color theme="1" tint="0.34998626667073579"/>
        <rFont val="Symbol"/>
        <family val="1"/>
        <charset val="2"/>
      </rPr>
      <t>·</t>
    </r>
    <r>
      <rPr>
        <i/>
        <sz val="11"/>
        <color theme="1" tint="0.34998626667073579"/>
        <rFont val="Calibri"/>
        <family val="2"/>
      </rPr>
      <t xml:space="preserve"> Et af resultaterne er indtastet</t>
    </r>
  </si>
  <si>
    <r>
      <rPr>
        <b/>
        <sz val="9"/>
        <color theme="1"/>
        <rFont val="Arial"/>
        <family val="2"/>
      </rPr>
      <t>Organiske jorde:</t>
    </r>
    <r>
      <rPr>
        <sz val="9"/>
        <color theme="1"/>
        <rFont val="Arial"/>
        <family val="2"/>
      </rPr>
      <t xml:space="preserve"> Der er ikke bestemt Kd-værdier for organiske jordtyper (f.eks. tørv og gytje), og modellen kan derfor ikke benyttes til at estimere en fasefordeling for sådanne jordtyper. Organiske jordtyper er karakteriseret ved højt indhold af organisk stof (høj foc), lave TS%, høje vandindhold, høje porøsiteter, lave partikeldensiteter og lave rumvægte (bulk densiteter). </t>
    </r>
    <r>
      <rPr>
        <u/>
        <sz val="9"/>
        <color theme="1"/>
        <rFont val="Arial"/>
        <family val="2"/>
      </rPr>
      <t>Ved indtastning af en lav TS% advarer modellen om at der kan være tale om en organisk jordtype.</t>
    </r>
  </si>
  <si>
    <r>
      <t xml:space="preserve">I </t>
    </r>
    <r>
      <rPr>
        <b/>
        <sz val="11"/>
        <color rgb="FF002060"/>
        <rFont val="Calibri"/>
        <family val="2"/>
      </rPr>
      <t>Jordtype</t>
    </r>
    <r>
      <rPr>
        <sz val="11"/>
        <color theme="1"/>
        <rFont val="Calibri"/>
        <family val="2"/>
      </rPr>
      <t xml:space="preserve"> er teksten i "bemærkningsboksen" for Aia ændret</t>
    </r>
  </si>
  <si>
    <r>
      <rPr>
        <b/>
        <i/>
        <sz val="13"/>
        <rFont val="Calibri"/>
        <family val="2"/>
      </rPr>
      <t>C</t>
    </r>
    <r>
      <rPr>
        <b/>
        <i/>
        <vertAlign val="subscript"/>
        <sz val="13"/>
        <rFont val="Calibri"/>
        <family val="2"/>
      </rPr>
      <t>t</t>
    </r>
    <r>
      <rPr>
        <sz val="13"/>
        <rFont val="Calibri"/>
        <family val="2"/>
      </rPr>
      <t xml:space="preserve"> er den jordkoncentration, der oplyses af laboratoriet ved analyse af en jordprøve.</t>
    </r>
  </si>
  <si>
    <r>
      <rPr>
        <b/>
        <i/>
        <sz val="13"/>
        <rFont val="Calibri"/>
        <family val="2"/>
      </rPr>
      <t>C</t>
    </r>
    <r>
      <rPr>
        <b/>
        <i/>
        <vertAlign val="subscript"/>
        <sz val="13"/>
        <rFont val="Calibri"/>
        <family val="2"/>
      </rPr>
      <t>t</t>
    </r>
    <r>
      <rPr>
        <sz val="13"/>
        <rFont val="Calibri"/>
        <family val="2"/>
      </rPr>
      <t xml:space="preserve"> er den jordkoncentration, der kan sammenlignes med Miljøstyrelsens jordkvalitetskriterier.</t>
    </r>
  </si>
  <si>
    <t>Lettere visuel afkodning</t>
  </si>
  <si>
    <t>I den umættede zone (UZ) er den totale stofmængde fordelt på partikler, porevand og vand-luft grænsefladen.</t>
  </si>
  <si>
    <r>
      <rPr>
        <b/>
        <i/>
        <sz val="13"/>
        <rFont val="Calibri"/>
        <family val="2"/>
      </rPr>
      <t>C</t>
    </r>
    <r>
      <rPr>
        <b/>
        <i/>
        <vertAlign val="subscript"/>
        <sz val="13"/>
        <rFont val="Calibri"/>
        <family val="2"/>
      </rPr>
      <t>ia</t>
    </r>
    <r>
      <rPr>
        <sz val="13"/>
        <rFont val="Calibri"/>
        <family val="2"/>
      </rPr>
      <t xml:space="preserve"> [µg/dm</t>
    </r>
    <r>
      <rPr>
        <vertAlign val="superscript"/>
        <sz val="13"/>
        <rFont val="Calibri"/>
        <family val="2"/>
      </rPr>
      <t>2</t>
    </r>
    <r>
      <rPr>
        <sz val="13"/>
        <rFont val="Calibri"/>
        <family val="2"/>
      </rPr>
      <t>] er koncentrationen relateret til luft-vand grænsefladen (masse stof pr. dm</t>
    </r>
    <r>
      <rPr>
        <vertAlign val="superscript"/>
        <sz val="13"/>
        <rFont val="Calibri"/>
        <family val="2"/>
      </rPr>
      <t>2</t>
    </r>
    <r>
      <rPr>
        <sz val="13"/>
        <rFont val="Calibri"/>
        <family val="2"/>
      </rPr>
      <t xml:space="preserve"> grænsefladeareal i enhedsvoluminet).</t>
    </r>
  </si>
  <si>
    <r>
      <t>indeholder en forklaring på forskellen imellem de to forskellige "jordkoncentrationer", C</t>
    </r>
    <r>
      <rPr>
        <vertAlign val="subscript"/>
        <sz val="9"/>
        <color theme="0"/>
        <rFont val="Arial"/>
        <family val="2"/>
      </rPr>
      <t>t</t>
    </r>
    <r>
      <rPr>
        <sz val="9"/>
        <color theme="0"/>
        <rFont val="Arial"/>
        <family val="2"/>
      </rPr>
      <t xml:space="preserve"> og C</t>
    </r>
    <r>
      <rPr>
        <vertAlign val="subscript"/>
        <sz val="9"/>
        <color theme="0"/>
        <rFont val="Arial"/>
        <family val="2"/>
      </rPr>
      <t>s</t>
    </r>
    <r>
      <rPr>
        <sz val="9"/>
        <color theme="0"/>
        <rFont val="Arial"/>
        <family val="2"/>
      </rPr>
      <t>.</t>
    </r>
  </si>
  <si>
    <t>PFAS4</t>
  </si>
  <si>
    <t>PFAS22</t>
  </si>
  <si>
    <t>Forbindelser med blå navne indgår i PFAS4</t>
  </si>
  <si>
    <t>Indgår i PFAS4</t>
  </si>
  <si>
    <t xml:space="preserve">    Blå skrift: Indgår i PFAS4</t>
  </si>
  <si>
    <r>
      <t xml:space="preserve">I </t>
    </r>
    <r>
      <rPr>
        <b/>
        <sz val="11"/>
        <color rgb="FF002060"/>
        <rFont val="Calibri"/>
        <family val="2"/>
      </rPr>
      <t>PieCharts1</t>
    </r>
    <r>
      <rPr>
        <sz val="11"/>
        <rFont val="Calibri"/>
        <family val="2"/>
      </rPr>
      <t xml:space="preserve"> og </t>
    </r>
    <r>
      <rPr>
        <b/>
        <sz val="11"/>
        <color rgb="FF002060"/>
        <rFont val="Calibri"/>
        <family val="2"/>
      </rPr>
      <t>PieCharts2</t>
    </r>
    <r>
      <rPr>
        <sz val="11"/>
        <rFont val="Calibri"/>
        <family val="2"/>
      </rPr>
      <t xml:space="preserve"> er der tilføjet versionsnummer af PFASen nederst på siderne</t>
    </r>
  </si>
  <si>
    <t>Brugerhjælp</t>
  </si>
  <si>
    <t>PFASen er gennemgået for konsekvent anvendelse af sænket skrift i parameternavne</t>
  </si>
  <si>
    <t>PFASen er gennemgået for konsekvent rettelse af Sum4 og Sum22 til PFAS4 og PFAS22</t>
  </si>
  <si>
    <t>Ønske fra RH</t>
  </si>
  <si>
    <r>
      <rPr>
        <b/>
        <i/>
        <sz val="13"/>
        <rFont val="Calibri"/>
        <family val="2"/>
      </rPr>
      <t>C</t>
    </r>
    <r>
      <rPr>
        <b/>
        <i/>
        <vertAlign val="subscript"/>
        <sz val="13"/>
        <rFont val="Calibri"/>
        <family val="2"/>
      </rPr>
      <t>w</t>
    </r>
    <r>
      <rPr>
        <sz val="13"/>
        <rFont val="Calibri"/>
        <family val="2"/>
      </rPr>
      <t xml:space="preserve"> [ng/L] er koncentrationen i vandfasen (masse opløst stof pr. L vand i enhedsvoluminet).</t>
    </r>
  </si>
  <si>
    <r>
      <t xml:space="preserve">Forskellige skønhedsfejl er rettet i </t>
    </r>
    <r>
      <rPr>
        <b/>
        <sz val="11"/>
        <rFont val="Calibri"/>
        <family val="2"/>
      </rPr>
      <t>Forklaring (Ct vs. Cs)</t>
    </r>
  </si>
  <si>
    <t>Introduktion til PFASen</t>
  </si>
  <si>
    <r>
      <t xml:space="preserve">Fanen </t>
    </r>
    <r>
      <rPr>
        <b/>
        <sz val="11"/>
        <color rgb="FF002060"/>
        <rFont val="Calibri"/>
        <family val="2"/>
      </rPr>
      <t>Analyseresultater</t>
    </r>
    <r>
      <rPr>
        <sz val="11"/>
        <color theme="1"/>
        <rFont val="Calibri"/>
        <family val="2"/>
      </rPr>
      <t xml:space="preserve"> er omdøbt til </t>
    </r>
    <r>
      <rPr>
        <b/>
        <sz val="11"/>
        <color rgb="FF002060"/>
        <rFont val="Calibri"/>
        <family val="2"/>
      </rPr>
      <t>Analyser og resultater</t>
    </r>
  </si>
  <si>
    <r>
      <t xml:space="preserve">I </t>
    </r>
    <r>
      <rPr>
        <b/>
        <sz val="11"/>
        <color rgb="FF002060"/>
        <rFont val="Calibri"/>
        <family val="2"/>
      </rPr>
      <t>Analyser og resultater</t>
    </r>
    <r>
      <rPr>
        <sz val="11"/>
        <color theme="1"/>
        <rFont val="Calibri"/>
        <family val="2"/>
      </rPr>
      <t xml:space="preserve"> er der tilføjet advarsler for beregninger udført uden indtastet TS% og uden valg af jordtype</t>
    </r>
  </si>
  <si>
    <r>
      <t xml:space="preserve">Celler i </t>
    </r>
    <r>
      <rPr>
        <b/>
        <sz val="11"/>
        <color rgb="FF002060"/>
        <rFont val="Calibri"/>
        <family val="2"/>
      </rPr>
      <t>Analyser og resultater</t>
    </r>
    <r>
      <rPr>
        <sz val="11"/>
        <color theme="1"/>
        <rFont val="Calibri"/>
        <family val="2"/>
      </rPr>
      <t xml:space="preserve"> kan nu markeres og kopieres</t>
    </r>
  </si>
  <si>
    <r>
      <t xml:space="preserve">I </t>
    </r>
    <r>
      <rPr>
        <b/>
        <sz val="11"/>
        <color rgb="FF002060"/>
        <rFont val="Calibri"/>
        <family val="2"/>
      </rPr>
      <t>Analyser og resultater</t>
    </r>
    <r>
      <rPr>
        <sz val="11"/>
        <rFont val="Calibri"/>
        <family val="2"/>
      </rPr>
      <t xml:space="preserve"> er der tilføjet advarsler</t>
    </r>
    <r>
      <rPr>
        <sz val="11"/>
        <color theme="1"/>
        <rFont val="Calibri"/>
        <family val="2"/>
      </rPr>
      <t xml:space="preserve"> (manglende indtastning af TS% og valg af jordtype)</t>
    </r>
  </si>
  <si>
    <r>
      <t xml:space="preserve">I </t>
    </r>
    <r>
      <rPr>
        <b/>
        <sz val="11"/>
        <color rgb="FF002060"/>
        <rFont val="Calibri"/>
        <family val="2"/>
      </rPr>
      <t>Analyser og resultater</t>
    </r>
    <r>
      <rPr>
        <sz val="11"/>
        <color theme="1"/>
        <rFont val="Calibri"/>
        <family val="2"/>
      </rPr>
      <t xml:space="preserve"> er der rettet i beskrivelsen af at det ene resultat stammer fra indtastede værdier (L30-O30)</t>
    </r>
  </si>
  <si>
    <t>Brugervenlighed (afspejler bedre fanens indhold)</t>
  </si>
  <si>
    <t>Brugervenlighed (afspejler bedre fanens funktion)</t>
  </si>
  <si>
    <r>
      <t xml:space="preserve">I </t>
    </r>
    <r>
      <rPr>
        <b/>
        <sz val="11"/>
        <color rgb="FF002060"/>
        <rFont val="Calibri"/>
        <family val="2"/>
      </rPr>
      <t>Følsomhedsanalyse</t>
    </r>
    <r>
      <rPr>
        <sz val="11"/>
        <color theme="1"/>
        <rFont val="Calibri"/>
        <family val="2"/>
      </rPr>
      <t xml:space="preserve"> er farvekodningen for værdier under detektionsgrænsen (&lt;xx) i række 4 ændret fra blå til grå</t>
    </r>
  </si>
  <si>
    <t>Brugervenlighed (afspejler bedre fanernes brug)</t>
  </si>
  <si>
    <r>
      <t xml:space="preserve">I fanen </t>
    </r>
    <r>
      <rPr>
        <b/>
        <sz val="11"/>
        <color rgb="FF002060"/>
        <rFont val="Calibri"/>
        <family val="2"/>
      </rPr>
      <t>Analyser og resultater</t>
    </r>
    <r>
      <rPr>
        <sz val="11"/>
        <color theme="1"/>
        <rFont val="Calibri"/>
        <family val="2"/>
      </rPr>
      <t xml:space="preserve"> var der byttet rundt på indholdet i celle A27 og A28</t>
    </r>
  </si>
  <si>
    <r>
      <t xml:space="preserve">Fanen </t>
    </r>
    <r>
      <rPr>
        <b/>
        <sz val="11"/>
        <color rgb="FF002060"/>
        <rFont val="Calibri"/>
        <family val="2"/>
      </rPr>
      <t>PFAS-fasefordeling</t>
    </r>
    <r>
      <rPr>
        <sz val="11"/>
        <color theme="1"/>
        <rFont val="Calibri"/>
        <family val="2"/>
      </rPr>
      <t xml:space="preserve"> er omdøbt til </t>
    </r>
    <r>
      <rPr>
        <b/>
        <sz val="11"/>
        <color rgb="FF002060"/>
        <rFont val="Calibri"/>
        <family val="2"/>
      </rPr>
      <t>Følsomhedsanalyse</t>
    </r>
  </si>
  <si>
    <r>
      <t xml:space="preserve">Rækkefølgen på fanerne </t>
    </r>
    <r>
      <rPr>
        <b/>
        <sz val="11"/>
        <color rgb="FF002060"/>
        <rFont val="Calibri"/>
        <family val="2"/>
      </rPr>
      <t>PieCharts1</t>
    </r>
    <r>
      <rPr>
        <sz val="11"/>
        <color theme="1"/>
        <rFont val="Calibri"/>
        <family val="2"/>
      </rPr>
      <t xml:space="preserve">, </t>
    </r>
    <r>
      <rPr>
        <b/>
        <sz val="11"/>
        <color rgb="FF002060"/>
        <rFont val="Calibri"/>
        <family val="2"/>
      </rPr>
      <t>PieCharts2</t>
    </r>
    <r>
      <rPr>
        <b/>
        <sz val="11"/>
        <color theme="1"/>
        <rFont val="Calibri"/>
        <family val="2"/>
      </rPr>
      <t xml:space="preserve"> </t>
    </r>
    <r>
      <rPr>
        <sz val="11"/>
        <color theme="1"/>
        <rFont val="Calibri"/>
        <family val="2"/>
      </rPr>
      <t xml:space="preserve">og  </t>
    </r>
    <r>
      <rPr>
        <b/>
        <sz val="11"/>
        <color rgb="FF002060"/>
        <rFont val="Calibri"/>
        <family val="2"/>
      </rPr>
      <t>Følsomhedsanalyse</t>
    </r>
    <r>
      <rPr>
        <sz val="11"/>
        <color theme="1"/>
        <rFont val="Calibri"/>
        <family val="2"/>
      </rPr>
      <t xml:space="preserve"> er ændret, så </t>
    </r>
    <r>
      <rPr>
        <b/>
        <sz val="11"/>
        <color rgb="FF002060"/>
        <rFont val="Calibri"/>
        <family val="2"/>
      </rPr>
      <t>Følsomhedanalyse</t>
    </r>
    <r>
      <rPr>
        <sz val="11"/>
        <color theme="1"/>
        <rFont val="Calibri"/>
        <family val="2"/>
      </rPr>
      <t xml:space="preserve"> kommer sidst</t>
    </r>
  </si>
  <si>
    <t>Analyser of resultater</t>
  </si>
  <si>
    <r>
      <t>Orange tekst indikerer OBS-punkt (</t>
    </r>
    <r>
      <rPr>
        <i/>
        <sz val="11"/>
        <color theme="5"/>
        <rFont val="Aptos Narrow"/>
        <family val="2"/>
        <scheme val="minor"/>
      </rPr>
      <t>kan</t>
    </r>
    <r>
      <rPr>
        <sz val="11"/>
        <color theme="5"/>
        <rFont val="Aptos Narrow"/>
        <family val="2"/>
        <scheme val="minor"/>
      </rPr>
      <t xml:space="preserve"> være ok)</t>
    </r>
  </si>
  <si>
    <r>
      <t xml:space="preserve">Overført fra </t>
    </r>
    <r>
      <rPr>
        <b/>
        <sz val="11"/>
        <color rgb="FF0070C0"/>
        <rFont val="Aptos Narrow"/>
        <family val="2"/>
        <scheme val="minor"/>
      </rPr>
      <t>Analyser og resultater</t>
    </r>
    <r>
      <rPr>
        <sz val="11"/>
        <color theme="1"/>
        <rFont val="Aptos Narrow"/>
        <family val="2"/>
        <scheme val="minor"/>
      </rPr>
      <t xml:space="preserve"> (stedslig og tidslig variabel)</t>
    </r>
  </si>
  <si>
    <t>Rød tekst indikerer fejlindtastning/-valg (bør udbedres)</t>
  </si>
  <si>
    <r>
      <t>Estimering af A</t>
    </r>
    <r>
      <rPr>
        <b/>
        <vertAlign val="subscript"/>
        <sz val="11"/>
        <color theme="1"/>
        <rFont val="Aptos Narrow"/>
        <family val="2"/>
        <scheme val="minor"/>
      </rPr>
      <t>ia</t>
    </r>
  </si>
  <si>
    <r>
      <t>(m</t>
    </r>
    <r>
      <rPr>
        <vertAlign val="superscript"/>
        <sz val="11"/>
        <color theme="1"/>
        <rFont val="Aptos Narrow"/>
        <family val="2"/>
        <scheme val="minor"/>
      </rPr>
      <t>2</t>
    </r>
    <r>
      <rPr>
        <sz val="11"/>
        <color theme="1"/>
        <rFont val="Aptos Narrow"/>
        <family val="2"/>
        <scheme val="minor"/>
      </rPr>
      <t>/g)</t>
    </r>
  </si>
  <si>
    <r>
      <t>A</t>
    </r>
    <r>
      <rPr>
        <vertAlign val="subscript"/>
        <sz val="11"/>
        <color theme="1"/>
        <rFont val="Aptos Narrow"/>
        <family val="2"/>
        <scheme val="minor"/>
      </rPr>
      <t>ia</t>
    </r>
  </si>
  <si>
    <r>
      <t xml:space="preserve">I </t>
    </r>
    <r>
      <rPr>
        <b/>
        <sz val="11"/>
        <color rgb="FF002060"/>
        <rFont val="Calibri"/>
        <family val="2"/>
      </rPr>
      <t>PieCharts1</t>
    </r>
    <r>
      <rPr>
        <sz val="11"/>
        <rFont val="Calibri"/>
        <family val="2"/>
      </rPr>
      <t xml:space="preserve"> er fejlreference i Cia for PFAS22 rettet, tidl. kunne der opstå !##### i beregninger for MZ</t>
    </r>
  </si>
  <si>
    <r>
      <t xml:space="preserve">Ovenstående rettelser afspejles i fanen </t>
    </r>
    <r>
      <rPr>
        <b/>
        <sz val="11"/>
        <color rgb="FF002060"/>
        <rFont val="Calibri"/>
        <family val="2"/>
      </rPr>
      <t>Intro</t>
    </r>
  </si>
  <si>
    <t>PFASen (Ver. 2.4) - 2025-10-09</t>
  </si>
  <si>
    <r>
      <t xml:space="preserve">I fanen </t>
    </r>
    <r>
      <rPr>
        <b/>
        <sz val="11"/>
        <color rgb="FF002060"/>
        <rFont val="Calibri"/>
        <family val="2"/>
      </rPr>
      <t>Jordtype</t>
    </r>
    <r>
      <rPr>
        <sz val="11"/>
        <rFont val="Calibri"/>
        <family val="2"/>
      </rPr>
      <t xml:space="preserve"> er der tilføjet signaturer til skrift med hhv. rød og orange farve</t>
    </r>
  </si>
  <si>
    <r>
      <t xml:space="preserve">I </t>
    </r>
    <r>
      <rPr>
        <b/>
        <sz val="11"/>
        <color rgb="FF002060"/>
        <rFont val="Calibri"/>
        <family val="2"/>
      </rPr>
      <t>PieCharts1</t>
    </r>
    <r>
      <rPr>
        <sz val="11"/>
        <rFont val="Calibri"/>
        <family val="2"/>
      </rPr>
      <t xml:space="preserve">, </t>
    </r>
    <r>
      <rPr>
        <b/>
        <sz val="11"/>
        <color rgb="FF002060"/>
        <rFont val="Calibri"/>
        <family val="2"/>
      </rPr>
      <t>PieCharts2</t>
    </r>
    <r>
      <rPr>
        <sz val="11"/>
        <rFont val="Calibri"/>
        <family val="2"/>
      </rPr>
      <t xml:space="preserve"> og </t>
    </r>
    <r>
      <rPr>
        <b/>
        <sz val="11"/>
        <color rgb="FF002060"/>
        <rFont val="Calibri"/>
        <family val="2"/>
      </rPr>
      <t>Følsomhedsanalyse</t>
    </r>
    <r>
      <rPr>
        <sz val="11"/>
        <rFont val="Calibri"/>
        <family val="2"/>
      </rPr>
      <t xml:space="preserve"> er der tilføjet advarsler</t>
    </r>
    <r>
      <rPr>
        <sz val="11"/>
        <color theme="1"/>
        <rFont val="Calibri"/>
        <family val="2"/>
      </rPr>
      <t xml:space="preserve"> (manglende indtastning af TS% og valg af jordtype)</t>
    </r>
  </si>
  <si>
    <r>
      <t xml:space="preserve">I </t>
    </r>
    <r>
      <rPr>
        <b/>
        <sz val="11"/>
        <color rgb="FF002060"/>
        <rFont val="Calibri"/>
        <family val="2"/>
      </rPr>
      <t>Analyser og resultater</t>
    </r>
    <r>
      <rPr>
        <sz val="11"/>
        <color theme="1"/>
        <rFont val="Calibri"/>
        <family val="2"/>
      </rPr>
      <t xml:space="preserve"> er "lille L" rettet til "stort L" (for liter) i celle G4 og O4 for konsistens  med </t>
    </r>
    <r>
      <rPr>
        <b/>
        <sz val="11"/>
        <color rgb="FF002060"/>
        <rFont val="Calibri"/>
        <family val="2"/>
      </rPr>
      <t>Jordtype</t>
    </r>
  </si>
  <si>
    <r>
      <t xml:space="preserve">I </t>
    </r>
    <r>
      <rPr>
        <b/>
        <sz val="11"/>
        <color rgb="FF002060"/>
        <rFont val="Calibri"/>
        <family val="2"/>
      </rPr>
      <t>Følsomhedsanalyse</t>
    </r>
    <r>
      <rPr>
        <sz val="11"/>
        <color theme="1"/>
        <rFont val="Calibri"/>
        <family val="2"/>
      </rPr>
      <t xml:space="preserve"> er "lille L" rettet til "stort L" (for liter) i celle E5 for konsistens med fanen </t>
    </r>
    <r>
      <rPr>
        <b/>
        <sz val="11"/>
        <color rgb="FF002060"/>
        <rFont val="Calibri"/>
        <family val="2"/>
      </rPr>
      <t>Jordtype</t>
    </r>
  </si>
  <si>
    <r>
      <t xml:space="preserve">I </t>
    </r>
    <r>
      <rPr>
        <b/>
        <sz val="11"/>
        <color rgb="FF002060"/>
        <rFont val="Calibri"/>
        <family val="2"/>
      </rPr>
      <t>Analyser og resultater</t>
    </r>
    <r>
      <rPr>
        <sz val="11"/>
        <color theme="1"/>
        <rFont val="Calibri"/>
        <family val="2"/>
      </rPr>
      <t xml:space="preserve"> er celle B40 låst op, så der er mulighed for manuelt at indtaste dato og klokkeslet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</si>
</sst>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
    <numFmt numFmtId="165" formatCode="0.0"/>
    <numFmt numFmtId="166" formatCode="0.0000"/>
    <numFmt numFmtId="167" formatCode="0.00000"/>
    <numFmt numFmtId="168" formatCode="0.0E+00"/>
    <numFmt numFmtId="169" formatCode="0.0%"/>
    <numFmt numFmtId="170" formatCode="#,##0.000"/>
    <numFmt numFmtId="171" formatCode="0.000E+00"/>
    <numFmt numFmtId="172" formatCode="0.0000E+00"/>
  </numFmts>
  <fonts count="175">
    <font>
      <sz val="11"/>
      <color theme="1"/>
      <name val="Calibri"/>
      <family val="2"/>
    </font>
    <font>
      <sz val="11"/>
      <color theme="1"/>
      <name val="Aptos Narrow"/>
      <family val="2"/>
      <scheme val="minor"/>
    </font>
    <font>
      <b/>
      <sz val="11"/>
      <color theme="1"/>
      <name val="Calibri"/>
      <family val="2"/>
    </font>
    <font>
      <sz val="13"/>
      <color theme="1"/>
      <name val="Aptos Narrow"/>
      <family val="2"/>
      <scheme val="minor"/>
    </font>
    <font>
      <sz val="13"/>
      <color rgb="FFFF0000"/>
      <name val="Aptos Narrow"/>
      <family val="2"/>
      <scheme val="minor"/>
    </font>
    <font>
      <b/>
      <sz val="13"/>
      <color theme="1"/>
      <name val="Aptos Narrow"/>
      <family val="2"/>
      <scheme val="minor"/>
    </font>
    <font>
      <b/>
      <sz val="13"/>
      <color theme="1"/>
      <name val="Aptos Narrow"/>
      <family val="1"/>
      <charset val="2"/>
      <scheme val="minor"/>
    </font>
    <font>
      <b/>
      <sz val="13"/>
      <color theme="1"/>
      <name val="Symbol"/>
      <family val="1"/>
      <charset val="2"/>
    </font>
    <font>
      <b/>
      <vertAlign val="subscript"/>
      <sz val="13"/>
      <color theme="1"/>
      <name val="Aptos Narrow"/>
      <family val="2"/>
      <scheme val="minor"/>
    </font>
    <font>
      <sz val="13"/>
      <color theme="1" tint="0.499984740745262"/>
      <name val="Aptos Narrow"/>
      <family val="2"/>
      <scheme val="minor"/>
    </font>
    <font>
      <sz val="13"/>
      <color theme="0" tint="-0.249977111117893"/>
      <name val="Aptos Narrow"/>
      <family val="2"/>
      <scheme val="minor"/>
    </font>
    <font>
      <sz val="13"/>
      <color rgb="FF0070C0"/>
      <name val="Aptos Narrow"/>
      <family val="2"/>
      <scheme val="minor"/>
    </font>
    <font>
      <b/>
      <u/>
      <sz val="16"/>
      <color theme="1"/>
      <name val="Aptos Narrow"/>
      <family val="2"/>
      <scheme val="minor"/>
    </font>
    <font>
      <sz val="10"/>
      <color theme="1" tint="0.499984740745262"/>
      <name val="Aptos Narrow"/>
      <family val="2"/>
      <scheme val="minor"/>
    </font>
    <font>
      <sz val="10"/>
      <color theme="1"/>
      <name val="Aptos Narrow"/>
      <family val="2"/>
      <scheme val="minor"/>
    </font>
    <font>
      <sz val="11"/>
      <color rgb="FFFF0000"/>
      <name val="Calibri"/>
      <family val="2"/>
    </font>
    <font>
      <sz val="11"/>
      <color theme="1"/>
      <name val="Aptos Narrow"/>
      <family val="2"/>
      <scheme val="minor"/>
    </font>
    <font>
      <sz val="10"/>
      <name val="Arial"/>
      <family val="2"/>
    </font>
    <font>
      <vertAlign val="subscript"/>
      <sz val="10"/>
      <color theme="1" tint="0.499984740745262"/>
      <name val="Aptos Narrow"/>
      <family val="2"/>
      <scheme val="minor"/>
    </font>
    <font>
      <vertAlign val="subscript"/>
      <sz val="10"/>
      <color theme="1"/>
      <name val="Aptos Narrow"/>
      <family val="2"/>
      <scheme val="minor"/>
    </font>
    <font>
      <sz val="11"/>
      <color theme="1"/>
      <name val="Symbol"/>
      <family val="1"/>
      <charset val="2"/>
    </font>
    <font>
      <sz val="10"/>
      <color theme="1"/>
      <name val="Symbol"/>
      <family val="1"/>
      <charset val="2"/>
    </font>
    <font>
      <b/>
      <sz val="13"/>
      <color rgb="FFFF0000"/>
      <name val="Aptos Narrow"/>
      <family val="2"/>
      <scheme val="minor"/>
    </font>
    <font>
      <sz val="11"/>
      <color theme="1"/>
      <name val="Calibri"/>
      <family val="2"/>
    </font>
    <font>
      <vertAlign val="superscript"/>
      <sz val="10"/>
      <color theme="1"/>
      <name val="Aptos Narrow"/>
      <family val="2"/>
      <scheme val="minor"/>
    </font>
    <font>
      <vertAlign val="superscript"/>
      <sz val="13"/>
      <color theme="1"/>
      <name val="Aptos Narrow"/>
      <family val="2"/>
      <scheme val="minor"/>
    </font>
    <font>
      <b/>
      <sz val="16"/>
      <color theme="1"/>
      <name val="Calibri"/>
      <family val="2"/>
    </font>
    <font>
      <sz val="11"/>
      <color theme="0" tint="-0.249977111117893"/>
      <name val="Calibri"/>
      <family val="2"/>
    </font>
    <font>
      <sz val="9"/>
      <color theme="0" tint="-0.499984740745262"/>
      <name val="Aptos Narrow"/>
      <family val="2"/>
      <scheme val="minor"/>
    </font>
    <font>
      <sz val="12"/>
      <color theme="1"/>
      <name val="Aptos Narrow"/>
      <family val="2"/>
      <scheme val="minor"/>
    </font>
    <font>
      <vertAlign val="subscript"/>
      <sz val="12"/>
      <color theme="1"/>
      <name val="Aptos Narrow"/>
      <family val="2"/>
      <scheme val="minor"/>
    </font>
    <font>
      <sz val="12"/>
      <color theme="1" tint="0.499984740745262"/>
      <name val="Aptos Narrow"/>
      <family val="2"/>
      <scheme val="minor"/>
    </font>
    <font>
      <b/>
      <sz val="12"/>
      <color theme="1"/>
      <name val="Aptos Narrow"/>
      <family val="2"/>
      <scheme val="minor"/>
    </font>
    <font>
      <vertAlign val="superscript"/>
      <sz val="12"/>
      <color theme="1"/>
      <name val="Aptos Narrow"/>
      <family val="2"/>
      <scheme val="minor"/>
    </font>
    <font>
      <b/>
      <vertAlign val="subscript"/>
      <sz val="12"/>
      <color theme="1"/>
      <name val="Aptos Narrow"/>
      <family val="2"/>
      <scheme val="minor"/>
    </font>
    <font>
      <sz val="11"/>
      <color theme="0" tint="-0.34998626667073579"/>
      <name val="Calibri"/>
      <family val="2"/>
    </font>
    <font>
      <b/>
      <sz val="10"/>
      <color rgb="FF0070C0"/>
      <name val="Aptos Narrow"/>
      <family val="2"/>
      <scheme val="minor"/>
    </font>
    <font>
      <sz val="11"/>
      <color rgb="FF0070C0"/>
      <name val="Calibri"/>
      <family val="2"/>
    </font>
    <font>
      <b/>
      <vertAlign val="subscript"/>
      <sz val="11"/>
      <color theme="1"/>
      <name val="Calibri"/>
      <family val="2"/>
    </font>
    <font>
      <i/>
      <sz val="11"/>
      <color theme="1"/>
      <name val="Calibri"/>
      <family val="2"/>
    </font>
    <font>
      <b/>
      <sz val="11"/>
      <color theme="1"/>
      <name val="Aptos Narrow"/>
      <family val="2"/>
      <scheme val="minor"/>
    </font>
    <font>
      <b/>
      <vertAlign val="superscript"/>
      <sz val="11"/>
      <color theme="1"/>
      <name val="Calibri"/>
      <family val="2"/>
    </font>
    <font>
      <b/>
      <sz val="11"/>
      <color rgb="FF0070C0"/>
      <name val="Calibri"/>
      <family val="2"/>
    </font>
    <font>
      <b/>
      <vertAlign val="subscript"/>
      <sz val="11"/>
      <color rgb="FF0070C0"/>
      <name val="Calibri"/>
      <family val="2"/>
    </font>
    <font>
      <b/>
      <sz val="11"/>
      <color rgb="FFFF0000"/>
      <name val="Calibri"/>
      <family val="2"/>
    </font>
    <font>
      <b/>
      <vertAlign val="subscript"/>
      <sz val="11"/>
      <color rgb="FFFF0000"/>
      <name val="Calibri"/>
      <family val="2"/>
    </font>
    <font>
      <vertAlign val="subscript"/>
      <sz val="11"/>
      <color theme="1"/>
      <name val="Calibri"/>
      <family val="2"/>
    </font>
    <font>
      <b/>
      <sz val="9"/>
      <color theme="1"/>
      <name val="Arial"/>
      <family val="2"/>
    </font>
    <font>
      <sz val="10"/>
      <color theme="1"/>
      <name val="Aptos Narrow"/>
      <family val="1"/>
      <charset val="2"/>
      <scheme val="minor"/>
    </font>
    <font>
      <sz val="11"/>
      <color theme="1"/>
      <name val="Calibri"/>
      <family val="1"/>
      <charset val="2"/>
    </font>
    <font>
      <sz val="11"/>
      <name val="Calibri"/>
      <family val="2"/>
    </font>
    <font>
      <i/>
      <sz val="13"/>
      <color theme="5" tint="-0.249977111117893"/>
      <name val="Aptos Narrow"/>
      <family val="2"/>
      <scheme val="minor"/>
    </font>
    <font>
      <sz val="9"/>
      <color theme="0" tint="-0.249977111117893"/>
      <name val="Aptos Narrow"/>
      <family val="2"/>
      <scheme val="minor"/>
    </font>
    <font>
      <i/>
      <sz val="10"/>
      <color theme="1"/>
      <name val="Arial"/>
      <family val="2"/>
    </font>
    <font>
      <i/>
      <sz val="11"/>
      <color theme="1"/>
      <name val="Aptos Narrow"/>
      <family val="2"/>
      <scheme val="minor"/>
    </font>
    <font>
      <i/>
      <sz val="10"/>
      <color theme="1" tint="0.499984740745262"/>
      <name val="Arial"/>
      <family val="2"/>
    </font>
    <font>
      <i/>
      <vertAlign val="subscript"/>
      <sz val="10"/>
      <color theme="1" tint="0.499984740745262"/>
      <name val="Arial"/>
      <family val="2"/>
    </font>
    <font>
      <b/>
      <i/>
      <sz val="10"/>
      <color theme="1"/>
      <name val="Arial"/>
      <family val="2"/>
    </font>
    <font>
      <b/>
      <sz val="12"/>
      <color theme="1"/>
      <name val="Calibri"/>
      <family val="2"/>
    </font>
    <font>
      <sz val="12"/>
      <color theme="1"/>
      <name val="Calibri"/>
      <family val="2"/>
    </font>
    <font>
      <i/>
      <sz val="11"/>
      <color theme="9" tint="0.79998168889431442"/>
      <name val="Calibri"/>
      <family val="2"/>
    </font>
    <font>
      <i/>
      <sz val="11"/>
      <color rgb="FFFF0000"/>
      <name val="Calibri"/>
      <family val="2"/>
    </font>
    <font>
      <b/>
      <sz val="11"/>
      <name val="Calibri"/>
      <family val="2"/>
    </font>
    <font>
      <b/>
      <sz val="15"/>
      <color theme="1"/>
      <name val="Calibri"/>
      <family val="2"/>
    </font>
    <font>
      <i/>
      <sz val="12"/>
      <color theme="1"/>
      <name val="Aptos Narrow"/>
      <family val="2"/>
      <scheme val="minor"/>
    </font>
    <font>
      <sz val="10"/>
      <color theme="1"/>
      <name val="Calibri"/>
      <family val="2"/>
    </font>
    <font>
      <b/>
      <sz val="10"/>
      <color theme="1"/>
      <name val="Calibri"/>
      <family val="2"/>
    </font>
    <font>
      <b/>
      <i/>
      <sz val="10"/>
      <color theme="1"/>
      <name val="Calibri"/>
      <family val="2"/>
    </font>
    <font>
      <b/>
      <i/>
      <sz val="11"/>
      <color theme="1"/>
      <name val="Calibri"/>
      <family val="2"/>
    </font>
    <font>
      <i/>
      <sz val="10"/>
      <color rgb="FF0070C0"/>
      <name val="Aptos Narrow"/>
      <family val="2"/>
      <scheme val="minor"/>
    </font>
    <font>
      <i/>
      <sz val="11"/>
      <color rgb="FFFF0000"/>
      <name val="Aptos Narrow"/>
      <family val="2"/>
      <scheme val="minor"/>
    </font>
    <font>
      <sz val="11"/>
      <color theme="1"/>
      <name val="Arial"/>
      <family val="2"/>
    </font>
    <font>
      <sz val="11"/>
      <color rgb="FFFFFF00"/>
      <name val="Calibri"/>
      <family val="2"/>
    </font>
    <font>
      <i/>
      <sz val="10"/>
      <color rgb="FFFF0000"/>
      <name val="Aptos Narrow"/>
      <family val="2"/>
      <scheme val="minor"/>
    </font>
    <font>
      <sz val="6"/>
      <color theme="0" tint="-4.9989318521683403E-2"/>
      <name val="Aptos Narrow"/>
      <family val="2"/>
      <scheme val="minor"/>
    </font>
    <font>
      <b/>
      <sz val="10"/>
      <color theme="1"/>
      <name val="Aptos Narrow"/>
      <family val="2"/>
      <scheme val="minor"/>
    </font>
    <font>
      <i/>
      <sz val="10"/>
      <color theme="1"/>
      <name val="Aptos Narrow"/>
      <family val="2"/>
      <scheme val="minor"/>
    </font>
    <font>
      <sz val="9"/>
      <color theme="1"/>
      <name val="Aptos Narrow"/>
      <family val="2"/>
      <scheme val="minor"/>
    </font>
    <font>
      <sz val="9"/>
      <name val="Calibri"/>
      <family val="2"/>
    </font>
    <font>
      <b/>
      <sz val="9"/>
      <color theme="1"/>
      <name val="Aptos Narrow"/>
      <family val="2"/>
      <scheme val="minor"/>
    </font>
    <font>
      <b/>
      <vertAlign val="superscript"/>
      <sz val="9"/>
      <color theme="1"/>
      <name val="Aptos Narrow"/>
      <family val="2"/>
      <scheme val="minor"/>
    </font>
    <font>
      <sz val="9"/>
      <color theme="0"/>
      <name val="Calibri"/>
      <family val="2"/>
    </font>
    <font>
      <i/>
      <sz val="9"/>
      <color rgb="FF0070C0"/>
      <name val="Aptos Narrow"/>
      <family val="2"/>
      <scheme val="minor"/>
    </font>
    <font>
      <i/>
      <sz val="11"/>
      <color rgb="FF0070C0"/>
      <name val="Calibri"/>
      <family val="2"/>
    </font>
    <font>
      <i/>
      <sz val="8"/>
      <color theme="1" tint="0.499984740745262"/>
      <name val="Arial"/>
      <family val="2"/>
    </font>
    <font>
      <sz val="9"/>
      <color rgb="FF0070C0"/>
      <name val="Aptos Narrow"/>
      <family val="2"/>
      <scheme val="minor"/>
    </font>
    <font>
      <b/>
      <sz val="9"/>
      <color theme="1"/>
      <name val="Calibri"/>
      <family val="2"/>
    </font>
    <font>
      <b/>
      <sz val="9"/>
      <color rgb="FF0070C0"/>
      <name val="Aptos Narrow"/>
      <family val="2"/>
      <scheme val="minor"/>
    </font>
    <font>
      <b/>
      <sz val="9"/>
      <color theme="0"/>
      <name val="Calibri"/>
      <family val="2"/>
    </font>
    <font>
      <i/>
      <sz val="10"/>
      <color rgb="FF0070C0"/>
      <name val="Calibri"/>
      <family val="2"/>
    </font>
    <font>
      <i/>
      <vertAlign val="subscript"/>
      <sz val="10"/>
      <color theme="1"/>
      <name val="Aptos Narrow"/>
      <family val="2"/>
      <scheme val="minor"/>
    </font>
    <font>
      <i/>
      <sz val="10"/>
      <color theme="1"/>
      <name val="Symbol"/>
      <family val="1"/>
      <charset val="2"/>
    </font>
    <font>
      <b/>
      <i/>
      <sz val="12"/>
      <color theme="1"/>
      <name val="Aptos Narrow"/>
      <family val="1"/>
      <charset val="2"/>
      <scheme val="minor"/>
    </font>
    <font>
      <b/>
      <i/>
      <sz val="12"/>
      <color theme="1"/>
      <name val="Symbol"/>
      <family val="1"/>
      <charset val="2"/>
    </font>
    <font>
      <b/>
      <i/>
      <vertAlign val="subscript"/>
      <sz val="12"/>
      <color theme="1"/>
      <name val="Aptos Narrow"/>
      <family val="2"/>
      <scheme val="minor"/>
    </font>
    <font>
      <b/>
      <i/>
      <sz val="12"/>
      <color theme="1"/>
      <name val="Aptos Narrow"/>
      <family val="2"/>
      <scheme val="minor"/>
    </font>
    <font>
      <b/>
      <i/>
      <sz val="13"/>
      <color theme="1"/>
      <name val="Aptos Narrow"/>
      <family val="1"/>
      <charset val="2"/>
      <scheme val="minor"/>
    </font>
    <font>
      <b/>
      <i/>
      <sz val="13"/>
      <color theme="1"/>
      <name val="Symbol"/>
      <family val="1"/>
      <charset val="2"/>
    </font>
    <font>
      <b/>
      <i/>
      <vertAlign val="subscript"/>
      <sz val="13"/>
      <color theme="1"/>
      <name val="Aptos Narrow"/>
      <family val="2"/>
      <scheme val="minor"/>
    </font>
    <font>
      <b/>
      <i/>
      <sz val="13"/>
      <color theme="1"/>
      <name val="Aptos Narrow"/>
      <family val="2"/>
      <scheme val="minor"/>
    </font>
    <font>
      <b/>
      <sz val="11"/>
      <color rgb="FF0070C0"/>
      <name val="Aptos Narrow"/>
      <family val="2"/>
      <scheme val="minor"/>
    </font>
    <font>
      <i/>
      <sz val="10"/>
      <color theme="1"/>
      <name val="Aptos Narrow"/>
      <family val="1"/>
      <charset val="2"/>
      <scheme val="minor"/>
    </font>
    <font>
      <sz val="9.5"/>
      <color theme="1"/>
      <name val="Aptos Narrow"/>
      <family val="2"/>
      <scheme val="minor"/>
    </font>
    <font>
      <b/>
      <sz val="12"/>
      <color rgb="FF0070C0"/>
      <name val="Aptos Narrow"/>
      <family val="2"/>
      <scheme val="minor"/>
    </font>
    <font>
      <b/>
      <i/>
      <u/>
      <sz val="9"/>
      <color theme="1"/>
      <name val="Arial"/>
      <family val="2"/>
    </font>
    <font>
      <i/>
      <sz val="10"/>
      <color rgb="FF0070C0"/>
      <name val="Arial"/>
      <family val="2"/>
    </font>
    <font>
      <sz val="10"/>
      <color theme="5"/>
      <name val="Aptos Narrow"/>
      <family val="2"/>
      <scheme val="minor"/>
    </font>
    <font>
      <sz val="9"/>
      <color theme="5"/>
      <name val="Arial"/>
      <family val="2"/>
    </font>
    <font>
      <i/>
      <sz val="10"/>
      <color rgb="FFFF0000"/>
      <name val="Arial"/>
      <family val="2"/>
    </font>
    <font>
      <i/>
      <sz val="10"/>
      <color theme="5"/>
      <name val="Aptos Narrow"/>
      <family val="2"/>
      <scheme val="minor"/>
    </font>
    <font>
      <sz val="13"/>
      <color theme="5"/>
      <name val="Aptos Narrow"/>
      <family val="2"/>
      <scheme val="minor"/>
    </font>
    <font>
      <b/>
      <sz val="10"/>
      <color rgb="FFFF0000"/>
      <name val="Arial"/>
      <family val="2"/>
    </font>
    <font>
      <sz val="12"/>
      <color rgb="FF0070C0"/>
      <name val="Aptos Narrow"/>
      <family val="2"/>
      <scheme val="minor"/>
    </font>
    <font>
      <i/>
      <sz val="12"/>
      <color rgb="FF0070C0"/>
      <name val="Aptos Narrow"/>
      <family val="2"/>
      <scheme val="minor"/>
    </font>
    <font>
      <sz val="9"/>
      <color theme="1"/>
      <name val="Arial"/>
      <family val="2"/>
    </font>
    <font>
      <sz val="11"/>
      <color theme="0"/>
      <name val="Calibri"/>
      <family val="2"/>
    </font>
    <font>
      <sz val="11"/>
      <color theme="1" tint="0.499984740745262"/>
      <name val="Calibri"/>
      <family val="2"/>
    </font>
    <font>
      <sz val="12"/>
      <color rgb="FF222222"/>
      <name val="Arial"/>
      <family val="2"/>
    </font>
    <font>
      <i/>
      <sz val="10"/>
      <color theme="5"/>
      <name val="Arial"/>
      <family val="2"/>
    </font>
    <font>
      <sz val="8"/>
      <color theme="1"/>
      <name val="Aptos Narrow"/>
      <family val="2"/>
      <scheme val="minor"/>
    </font>
    <font>
      <i/>
      <sz val="9"/>
      <color theme="1" tint="0.499984740745262"/>
      <name val="Aptos Narrow"/>
      <family val="2"/>
      <scheme val="minor"/>
    </font>
    <font>
      <i/>
      <sz val="11"/>
      <color theme="1" tint="0.499984740745262"/>
      <name val="Calibri"/>
      <family val="2"/>
    </font>
    <font>
      <i/>
      <sz val="11"/>
      <color theme="1" tint="0.34998626667073579"/>
      <name val="Calibri"/>
      <family val="1"/>
      <charset val="2"/>
    </font>
    <font>
      <sz val="9"/>
      <color theme="1" tint="0.34998626667073579"/>
      <name val="Symbol"/>
      <family val="1"/>
      <charset val="2"/>
    </font>
    <font>
      <i/>
      <sz val="11"/>
      <color theme="1" tint="0.34998626667073579"/>
      <name val="Calibri"/>
      <family val="2"/>
    </font>
    <font>
      <sz val="11"/>
      <color theme="0" tint="-4.9989318521683403E-2"/>
      <name val="Calibri"/>
      <family val="2"/>
    </font>
    <font>
      <b/>
      <sz val="10"/>
      <color rgb="FFFFFFFF"/>
      <name val="Arial"/>
      <family val="2"/>
    </font>
    <font>
      <sz val="10"/>
      <color rgb="FFFFFFFF"/>
      <name val="Arial"/>
      <family val="2"/>
    </font>
    <font>
      <i/>
      <sz val="10"/>
      <color rgb="FFFFFFFF"/>
      <name val="Arial"/>
      <family val="2"/>
    </font>
    <font>
      <sz val="9"/>
      <color theme="0"/>
      <name val="Arial"/>
      <family val="2"/>
    </font>
    <font>
      <i/>
      <sz val="9"/>
      <color theme="0"/>
      <name val="Arial"/>
      <family val="2"/>
    </font>
    <font>
      <i/>
      <vertAlign val="subscript"/>
      <sz val="9"/>
      <color theme="0"/>
      <name val="Arial"/>
      <family val="2"/>
    </font>
    <font>
      <b/>
      <i/>
      <sz val="10"/>
      <color theme="1"/>
      <name val="Aptos Narrow"/>
      <family val="2"/>
      <scheme val="minor"/>
    </font>
    <font>
      <sz val="13"/>
      <color theme="0" tint="-4.9989318521683403E-2"/>
      <name val="Aptos Narrow"/>
      <family val="2"/>
      <scheme val="minor"/>
    </font>
    <font>
      <i/>
      <sz val="8"/>
      <color theme="0" tint="-4.9989318521683403E-2"/>
      <name val="Aptos Narrow"/>
      <family val="2"/>
      <scheme val="minor"/>
    </font>
    <font>
      <sz val="8"/>
      <color theme="0" tint="-4.9989318521683403E-2"/>
      <name val="Aptos Narrow"/>
      <family val="2"/>
      <scheme val="minor"/>
    </font>
    <font>
      <b/>
      <sz val="11"/>
      <color rgb="FF002060"/>
      <name val="Calibri"/>
      <family val="2"/>
    </font>
    <font>
      <sz val="13"/>
      <color theme="1"/>
      <name val="Calibri"/>
      <family val="2"/>
    </font>
    <font>
      <b/>
      <i/>
      <sz val="13"/>
      <color theme="1"/>
      <name val="Calibri"/>
      <family val="2"/>
    </font>
    <font>
      <b/>
      <i/>
      <vertAlign val="subscript"/>
      <sz val="13"/>
      <color theme="1"/>
      <name val="Calibri"/>
      <family val="2"/>
    </font>
    <font>
      <u/>
      <sz val="13"/>
      <color theme="1"/>
      <name val="Calibri"/>
      <family val="2"/>
    </font>
    <font>
      <b/>
      <sz val="13"/>
      <color theme="1"/>
      <name val="Calibri"/>
      <family val="2"/>
    </font>
    <font>
      <i/>
      <sz val="11"/>
      <color rgb="FFFF0000"/>
      <name val="Calibri"/>
      <family val="1"/>
      <charset val="2"/>
    </font>
    <font>
      <sz val="11"/>
      <color rgb="FFFF5D5D"/>
      <name val="Calibri"/>
      <family val="2"/>
    </font>
    <font>
      <sz val="13"/>
      <name val="Calibri"/>
      <family val="2"/>
    </font>
    <font>
      <b/>
      <i/>
      <sz val="13"/>
      <name val="Calibri"/>
      <family val="2"/>
    </font>
    <font>
      <b/>
      <i/>
      <vertAlign val="subscript"/>
      <sz val="13"/>
      <name val="Calibri"/>
      <family val="2"/>
    </font>
    <font>
      <vertAlign val="superscript"/>
      <sz val="13"/>
      <name val="Calibri"/>
      <family val="2"/>
    </font>
    <font>
      <b/>
      <u/>
      <sz val="13"/>
      <color theme="1"/>
      <name val="Calibri"/>
      <family val="2"/>
    </font>
    <font>
      <b/>
      <u/>
      <sz val="16"/>
      <name val="Aptos Narrow"/>
      <family val="2"/>
      <scheme val="minor"/>
    </font>
    <font>
      <b/>
      <u/>
      <vertAlign val="subscript"/>
      <sz val="16"/>
      <name val="Aptos Narrow"/>
      <family val="2"/>
      <scheme val="minor"/>
    </font>
    <font>
      <i/>
      <sz val="8"/>
      <color theme="5"/>
      <name val="Arial"/>
      <family val="2"/>
    </font>
    <font>
      <b/>
      <vertAlign val="subscript"/>
      <sz val="9"/>
      <color theme="1"/>
      <name val="Aptos Narrow"/>
      <family val="2"/>
      <scheme val="minor"/>
    </font>
    <font>
      <u/>
      <sz val="9"/>
      <color theme="1"/>
      <name val="Arial"/>
      <family val="2"/>
    </font>
    <font>
      <sz val="10"/>
      <color theme="1" tint="0.499984740745262"/>
      <name val="Calibri"/>
      <family val="2"/>
    </font>
    <font>
      <vertAlign val="superscript"/>
      <sz val="11"/>
      <color theme="1"/>
      <name val="Calibri"/>
      <family val="2"/>
    </font>
    <font>
      <b/>
      <sz val="10"/>
      <color theme="0"/>
      <name val="Arial"/>
      <family val="2"/>
    </font>
    <font>
      <sz val="11"/>
      <color theme="0"/>
      <name val="Arial"/>
      <family val="2"/>
    </font>
    <font>
      <b/>
      <sz val="10"/>
      <color theme="1"/>
      <name val="Arial"/>
      <family val="2"/>
    </font>
    <font>
      <vertAlign val="subscript"/>
      <sz val="9"/>
      <color theme="0"/>
      <name val="Arial"/>
      <family val="2"/>
    </font>
    <font>
      <b/>
      <sz val="10"/>
      <color rgb="FFFF5D5D"/>
      <name val="Arial"/>
      <family val="2"/>
    </font>
    <font>
      <sz val="11"/>
      <color rgb="FFFF0000"/>
      <name val="Arial"/>
      <family val="2"/>
    </font>
    <font>
      <b/>
      <sz val="11"/>
      <color rgb="FFFF0000"/>
      <name val="Arial"/>
      <family val="2"/>
    </font>
    <font>
      <b/>
      <sz val="20"/>
      <color rgb="FFFFFFFF"/>
      <name val="Aptos Narrow"/>
      <family val="2"/>
    </font>
    <font>
      <sz val="10"/>
      <color rgb="FFFF0000"/>
      <name val="Aptos Narrow"/>
      <family val="2"/>
      <scheme val="minor"/>
    </font>
    <font>
      <sz val="11"/>
      <color rgb="FFFF0000"/>
      <name val="Aptos Narrow"/>
      <family val="2"/>
      <scheme val="minor"/>
    </font>
    <font>
      <sz val="11"/>
      <color theme="5"/>
      <name val="Aptos Narrow"/>
      <family val="2"/>
      <scheme val="minor"/>
    </font>
    <font>
      <i/>
      <sz val="11"/>
      <color theme="5"/>
      <name val="Aptos Narrow"/>
      <family val="2"/>
      <scheme val="minor"/>
    </font>
    <font>
      <b/>
      <i/>
      <sz val="11"/>
      <color rgb="FF0070C0"/>
      <name val="Aptos Narrow"/>
      <family val="2"/>
      <scheme val="minor"/>
    </font>
    <font>
      <b/>
      <vertAlign val="subscript"/>
      <sz val="11"/>
      <color theme="1"/>
      <name val="Aptos Narrow"/>
      <family val="2"/>
      <scheme val="minor"/>
    </font>
    <font>
      <sz val="11"/>
      <color rgb="FF0070C0"/>
      <name val="Arial"/>
      <family val="2"/>
    </font>
    <font>
      <vertAlign val="superscript"/>
      <sz val="11"/>
      <color theme="1"/>
      <name val="Aptos Narrow"/>
      <family val="2"/>
      <scheme val="minor"/>
    </font>
    <font>
      <vertAlign val="subscript"/>
      <sz val="11"/>
      <color theme="1"/>
      <name val="Aptos Narrow"/>
      <family val="2"/>
      <scheme val="minor"/>
    </font>
    <font>
      <sz val="13"/>
      <color rgb="FF002060"/>
      <name val="Aptos Narrow"/>
      <family val="2"/>
      <scheme val="minor"/>
    </font>
    <font>
      <sz val="10"/>
      <color rgb="FF0070C0"/>
      <name val="Aptos Narrow"/>
      <family val="2"/>
      <scheme val="minor"/>
    </font>
  </fonts>
  <fills count="59">
    <fill>
      <patternFill patternType="none"/>
    </fill>
    <fill>
      <patternFill patternType="gray125"/>
    </fill>
    <fill>
      <patternFill patternType="solid">
        <fgColor rgb="FF193C6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89142"/>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rgb="FFC6FEEF"/>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rgb="FFA6833C"/>
        <bgColor indexed="64"/>
      </patternFill>
    </fill>
    <fill>
      <patternFill patternType="solid">
        <fgColor rgb="FFA1FDE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DFF4FD"/>
        <bgColor indexed="64"/>
      </patternFill>
    </fill>
    <fill>
      <patternFill patternType="solid">
        <fgColor theme="2"/>
        <bgColor indexed="64"/>
      </patternFill>
    </fill>
    <fill>
      <patternFill patternType="solid">
        <fgColor theme="0" tint="-0.249977111117893"/>
        <bgColor indexed="64"/>
      </patternFill>
    </fill>
    <fill>
      <patternFill patternType="solid">
        <fgColor rgb="FFDCECF6"/>
        <bgColor indexed="64"/>
      </patternFill>
    </fill>
    <fill>
      <patternFill patternType="solid">
        <fgColor rgb="FFBBD7E9"/>
        <bgColor indexed="64"/>
      </patternFill>
    </fill>
    <fill>
      <patternFill patternType="solid">
        <fgColor rgb="FF9EC0E5"/>
        <bgColor indexed="64"/>
      </patternFill>
    </fill>
    <fill>
      <patternFill patternType="solid">
        <fgColor rgb="FF3272B6"/>
        <bgColor indexed="64"/>
      </patternFill>
    </fill>
    <fill>
      <patternFill patternType="solid">
        <fgColor rgb="FF204C75"/>
        <bgColor indexed="64"/>
      </patternFill>
    </fill>
    <fill>
      <patternFill patternType="solid">
        <fgColor rgb="FFE0EFD6"/>
        <bgColor indexed="64"/>
      </patternFill>
    </fill>
    <fill>
      <patternFill patternType="solid">
        <fgColor rgb="FFC6DFB5"/>
        <bgColor indexed="64"/>
      </patternFill>
    </fill>
    <fill>
      <patternFill patternType="solid">
        <fgColor rgb="FFA7CF8F"/>
        <bgColor indexed="64"/>
      </patternFill>
    </fill>
    <fill>
      <patternFill patternType="solid">
        <fgColor rgb="FF70AA4C"/>
        <bgColor indexed="64"/>
      </patternFill>
    </fill>
    <fill>
      <patternFill patternType="solid">
        <fgColor rgb="FF538137"/>
        <bgColor indexed="64"/>
      </patternFill>
    </fill>
    <fill>
      <patternFill patternType="solid">
        <fgColor rgb="FFFDEFD0"/>
        <bgColor indexed="64"/>
      </patternFill>
    </fill>
    <fill>
      <patternFill patternType="solid">
        <fgColor rgb="FFFBE59B"/>
        <bgColor indexed="64"/>
      </patternFill>
    </fill>
    <fill>
      <patternFill patternType="solid">
        <fgColor rgb="FFFEDA67"/>
        <bgColor indexed="64"/>
      </patternFill>
    </fill>
    <fill>
      <patternFill patternType="solid">
        <fgColor rgb="FFB99004"/>
        <bgColor indexed="64"/>
      </patternFill>
    </fill>
    <fill>
      <patternFill patternType="solid">
        <fgColor rgb="FF826003"/>
        <bgColor indexed="64"/>
      </patternFill>
    </fill>
    <fill>
      <patternFill patternType="solid">
        <fgColor rgb="FFF7CCAD"/>
        <bgColor indexed="64"/>
      </patternFill>
    </fill>
    <fill>
      <patternFill patternType="solid">
        <fgColor rgb="FFF7AE85"/>
        <bgColor indexed="64"/>
      </patternFill>
    </fill>
    <fill>
      <patternFill patternType="solid">
        <fgColor rgb="FFEC7D30"/>
        <bgColor indexed="64"/>
      </patternFill>
    </fill>
    <fill>
      <patternFill patternType="solid">
        <fgColor rgb="FFC35A0D"/>
        <bgColor indexed="64"/>
      </patternFill>
    </fill>
    <fill>
      <patternFill patternType="solid">
        <fgColor rgb="FF803E0A"/>
        <bgColor indexed="64"/>
      </patternFill>
    </fill>
    <fill>
      <patternFill patternType="solid">
        <fgColor rgb="FF7A7A7A"/>
        <bgColor indexed="64"/>
      </patternFill>
    </fill>
    <fill>
      <patternFill patternType="solid">
        <fgColor rgb="FFFA60D5"/>
        <bgColor indexed="64"/>
      </patternFill>
    </fill>
    <fill>
      <patternFill patternType="solid">
        <fgColor rgb="FFFBA7A5"/>
        <bgColor indexed="64"/>
      </patternFill>
    </fill>
    <fill>
      <patternFill patternType="solid">
        <fgColor rgb="FFCE342E"/>
        <bgColor indexed="64"/>
      </patternFill>
    </fill>
    <fill>
      <patternFill patternType="solid">
        <fgColor rgb="FFFFF3EF"/>
        <bgColor indexed="64"/>
      </patternFill>
    </fill>
    <fill>
      <patternFill patternType="solid">
        <fgColor rgb="FFE9F2FB"/>
        <bgColor indexed="64"/>
      </patternFill>
    </fill>
    <fill>
      <patternFill patternType="solid">
        <fgColor rgb="FFFBEFFA"/>
        <bgColor indexed="64"/>
      </patternFill>
    </fill>
    <fill>
      <patternFill patternType="solid">
        <fgColor rgb="FFF3F3F3"/>
        <bgColor indexed="64"/>
      </patternFill>
    </fill>
    <fill>
      <patternFill patternType="solid">
        <fgColor rgb="FFDDF7E1"/>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rgb="FF245F94"/>
        <bgColor indexed="64"/>
      </patternFill>
    </fill>
    <fill>
      <patternFill patternType="solid">
        <fgColor rgb="FF1E4778"/>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rgb="FFC626E6"/>
        <bgColor indexed="64"/>
      </patternFill>
    </fill>
    <fill>
      <patternFill patternType="solid">
        <fgColor rgb="FFFFFF3B"/>
        <bgColor indexed="64"/>
      </patternFill>
    </fill>
  </fills>
  <borders count="17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thin">
        <color theme="1" tint="0.499984740745262"/>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indexed="64"/>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right style="thin">
        <color theme="1" tint="0.499984740745262"/>
      </right>
      <top style="thin">
        <color indexed="64"/>
      </top>
      <bottom style="thin">
        <color theme="1" tint="0.499984740745262"/>
      </bottom>
      <diagonal/>
    </border>
    <border>
      <left/>
      <right style="thin">
        <color theme="1" tint="0.499984740745262"/>
      </right>
      <top style="thin">
        <color theme="1" tint="0.499984740745262"/>
      </top>
      <bottom style="thin">
        <color indexed="64"/>
      </bottom>
      <diagonal/>
    </border>
    <border>
      <left/>
      <right style="thin">
        <color indexed="64"/>
      </right>
      <top style="thin">
        <color theme="1" tint="0.499984740745262"/>
      </top>
      <bottom/>
      <diagonal/>
    </border>
    <border>
      <left/>
      <right style="thin">
        <color indexed="64"/>
      </right>
      <top style="thin">
        <color theme="1" tint="0.499984740745262"/>
      </top>
      <bottom style="thin">
        <color theme="1" tint="0.499984740745262"/>
      </bottom>
      <diagonal/>
    </border>
    <border>
      <left style="thin">
        <color theme="0" tint="-0.499984740745262"/>
      </left>
      <right style="thin">
        <color theme="0" tint="-0.499984740745262"/>
      </right>
      <top/>
      <bottom style="thin">
        <color theme="0" tint="-0.499984740745262"/>
      </bottom>
      <diagonal/>
    </border>
    <border>
      <left style="thin">
        <color theme="1"/>
      </left>
      <right/>
      <top style="thin">
        <color theme="1"/>
      </top>
      <bottom/>
      <diagonal/>
    </border>
    <border>
      <left/>
      <right/>
      <top style="thin">
        <color theme="1"/>
      </top>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indexed="64"/>
      </bottom>
      <diagonal/>
    </border>
    <border>
      <left style="thin">
        <color theme="0" tint="-0.249977111117893"/>
      </left>
      <right style="thin">
        <color indexed="64"/>
      </right>
      <top style="thin">
        <color theme="0" tint="-0.249977111117893"/>
      </top>
      <bottom/>
      <diagonal/>
    </border>
    <border>
      <left/>
      <right style="thin">
        <color theme="0" tint="-0.249977111117893"/>
      </right>
      <top style="thin">
        <color indexed="64"/>
      </top>
      <bottom style="thin">
        <color theme="0" tint="-0.249977111117893"/>
      </bottom>
      <diagonal/>
    </border>
    <border>
      <left/>
      <right style="thin">
        <color theme="0" tint="-0.249977111117893"/>
      </right>
      <top style="thin">
        <color theme="0" tint="-0.249977111117893"/>
      </top>
      <bottom style="thin">
        <color indexed="64"/>
      </bottom>
      <diagonal/>
    </border>
    <border>
      <left style="thin">
        <color theme="1"/>
      </left>
      <right style="thin">
        <color theme="0" tint="-0.499984740745262"/>
      </right>
      <top style="thin">
        <color theme="1"/>
      </top>
      <bottom style="thin">
        <color theme="1"/>
      </bottom>
      <diagonal/>
    </border>
    <border>
      <left style="thin">
        <color theme="0" tint="-0.499984740745262"/>
      </left>
      <right style="thin">
        <color theme="0" tint="-0.499984740745262"/>
      </right>
      <top style="thin">
        <color theme="1"/>
      </top>
      <bottom style="thin">
        <color theme="1"/>
      </bottom>
      <diagonal/>
    </border>
    <border>
      <left style="thin">
        <color theme="0" tint="-0.499984740745262"/>
      </left>
      <right style="thin">
        <color theme="1"/>
      </right>
      <top style="thin">
        <color theme="1"/>
      </top>
      <bottom style="thin">
        <color theme="1"/>
      </bottom>
      <diagonal/>
    </border>
    <border>
      <left style="thin">
        <color theme="1"/>
      </left>
      <right style="thin">
        <color theme="0" tint="-0.499984740745262"/>
      </right>
      <top style="thin">
        <color theme="1"/>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right style="thin">
        <color theme="0" tint="-0.499984740745262"/>
      </right>
      <top style="thin">
        <color theme="0" tint="-0.499984740745262"/>
      </top>
      <bottom style="thin">
        <color theme="1"/>
      </bottom>
      <diagonal/>
    </border>
    <border>
      <left style="thin">
        <color theme="1"/>
      </left>
      <right style="thin">
        <color theme="0" tint="-0.499984740745262"/>
      </right>
      <top/>
      <bottom style="thin">
        <color theme="0" tint="-0.499984740745262"/>
      </bottom>
      <diagonal/>
    </border>
    <border>
      <left style="thin">
        <color theme="0" tint="-0.499984740745262"/>
      </left>
      <right style="thin">
        <color theme="1"/>
      </right>
      <top/>
      <bottom style="thin">
        <color theme="0" tint="-0.499984740745262"/>
      </bottom>
      <diagonal/>
    </border>
    <border>
      <left/>
      <right style="thin">
        <color theme="0" tint="-0.499984740745262"/>
      </right>
      <top/>
      <bottom style="thin">
        <color theme="0" tint="-0.499984740745262"/>
      </bottom>
      <diagonal/>
    </border>
    <border>
      <left style="thin">
        <color theme="1"/>
      </left>
      <right style="thin">
        <color theme="0" tint="-0.499984740745262"/>
      </right>
      <top/>
      <bottom style="thin">
        <color theme="1"/>
      </bottom>
      <diagonal/>
    </border>
    <border>
      <left style="thin">
        <color theme="0" tint="-0.499984740745262"/>
      </left>
      <right style="thin">
        <color theme="0" tint="-0.499984740745262"/>
      </right>
      <top/>
      <bottom style="thin">
        <color theme="1"/>
      </bottom>
      <diagonal/>
    </border>
    <border>
      <left style="thin">
        <color theme="0" tint="-0.499984740745262"/>
      </left>
      <right style="thin">
        <color theme="1"/>
      </right>
      <top/>
      <bottom style="thin">
        <color theme="1"/>
      </bottom>
      <diagonal/>
    </border>
    <border>
      <left/>
      <right style="thin">
        <color theme="0" tint="-0.499984740745262"/>
      </right>
      <top/>
      <bottom style="thin">
        <color theme="1"/>
      </bottom>
      <diagonal/>
    </border>
    <border>
      <left/>
      <right style="thin">
        <color theme="1" tint="0.499984740745262"/>
      </right>
      <top/>
      <bottom style="thin">
        <color theme="1" tint="0.499984740745262"/>
      </bottom>
      <diagonal/>
    </border>
    <border>
      <left/>
      <right style="thin">
        <color theme="1"/>
      </right>
      <top style="thin">
        <color theme="1"/>
      </top>
      <bottom/>
      <diagonal/>
    </border>
    <border>
      <left/>
      <right style="thin">
        <color theme="1"/>
      </right>
      <top/>
      <bottom style="thin">
        <color theme="1"/>
      </bottom>
      <diagonal/>
    </border>
    <border>
      <left style="thin">
        <color theme="0" tint="-0.499984740745262"/>
      </left>
      <right style="thin">
        <color theme="0" tint="-0.499984740745262"/>
      </right>
      <top/>
      <bottom/>
      <diagonal/>
    </border>
    <border>
      <left style="thin">
        <color theme="0" tint="-0.499984740745262"/>
      </left>
      <right style="thin">
        <color theme="1"/>
      </right>
      <top/>
      <bottom/>
      <diagonal/>
    </border>
    <border>
      <left style="thin">
        <color theme="1"/>
      </left>
      <right/>
      <top/>
      <bottom style="thin">
        <color theme="0" tint="-0.249977111117893"/>
      </bottom>
      <diagonal/>
    </border>
    <border>
      <left/>
      <right/>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249977111117893"/>
      </bottom>
      <diagonal/>
    </border>
    <border>
      <left style="thin">
        <color theme="0" tint="-0.499984740745262"/>
      </left>
      <right style="thin">
        <color theme="1"/>
      </right>
      <top style="thin">
        <color theme="0" tint="-0.499984740745262"/>
      </top>
      <bottom style="thin">
        <color theme="0" tint="-0.249977111117893"/>
      </bottom>
      <diagonal/>
    </border>
    <border>
      <left style="thin">
        <color theme="1"/>
      </left>
      <right style="thin">
        <color theme="0" tint="-0.499984740745262"/>
      </right>
      <top style="thin">
        <color theme="0" tint="-0.499984740745262"/>
      </top>
      <bottom style="thin">
        <color theme="0" tint="-0.249977111117893"/>
      </bottom>
      <diagonal/>
    </border>
    <border>
      <left style="thin">
        <color theme="1"/>
      </left>
      <right style="thin">
        <color theme="0" tint="-0.499984740745262"/>
      </right>
      <top/>
      <bottom/>
      <diagonal/>
    </border>
    <border>
      <left style="thin">
        <color theme="0" tint="-0.14999847407452621"/>
      </left>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indexed="64"/>
      </top>
      <bottom style="thin">
        <color theme="0" tint="-4.9989318521683403E-2"/>
      </bottom>
      <diagonal/>
    </border>
    <border>
      <left/>
      <right/>
      <top style="thin">
        <color theme="0"/>
      </top>
      <bottom style="thin">
        <color theme="0"/>
      </bottom>
      <diagonal/>
    </border>
    <border>
      <left style="thin">
        <color indexed="64"/>
      </left>
      <right style="thin">
        <color theme="0" tint="-4.9989318521683403E-2"/>
      </right>
      <top style="thin">
        <color indexed="64"/>
      </top>
      <bottom style="thin">
        <color theme="0" tint="-4.9989318521683403E-2"/>
      </bottom>
      <diagonal/>
    </border>
    <border>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indexed="64"/>
      </right>
      <top style="thin">
        <color indexed="64"/>
      </top>
      <bottom style="thin">
        <color theme="0"/>
      </bottom>
      <diagonal/>
    </border>
    <border>
      <left style="thin">
        <color indexed="64"/>
      </left>
      <right style="thin">
        <color theme="0" tint="-4.9989318521683403E-2"/>
      </right>
      <top style="thin">
        <color theme="0" tint="-4.9989318521683403E-2"/>
      </top>
      <bottom style="thin">
        <color theme="0" tint="-4.9989318521683403E-2"/>
      </bottom>
      <diagonal/>
    </border>
    <border>
      <left/>
      <right style="thin">
        <color indexed="64"/>
      </right>
      <top style="thin">
        <color theme="0"/>
      </top>
      <bottom style="thin">
        <color theme="0"/>
      </bottom>
      <diagonal/>
    </border>
    <border>
      <left style="thin">
        <color indexed="64"/>
      </left>
      <right style="thin">
        <color theme="0" tint="-4.9989318521683403E-2"/>
      </right>
      <top style="thin">
        <color theme="0" tint="-4.9989318521683403E-2"/>
      </top>
      <bottom style="thin">
        <color indexed="64"/>
      </bottom>
      <diagonal/>
    </border>
    <border>
      <left style="thin">
        <color theme="0" tint="-4.9989318521683403E-2"/>
      </left>
      <right style="thin">
        <color theme="0" tint="-4.9989318521683403E-2"/>
      </right>
      <top style="thin">
        <color theme="0" tint="-4.9989318521683403E-2"/>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right style="thin">
        <color indexed="64"/>
      </right>
      <top/>
      <bottom style="thin">
        <color theme="0" tint="-0.249977111117893"/>
      </bottom>
      <diagonal/>
    </border>
    <border>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indexed="64"/>
      </left>
      <right style="thin">
        <color theme="0" tint="-0.14999847407452621"/>
      </right>
      <top style="thin">
        <color indexed="64"/>
      </top>
      <bottom/>
      <diagonal/>
    </border>
    <border>
      <left style="thin">
        <color indexed="64"/>
      </left>
      <right style="thin">
        <color theme="0" tint="-0.14999847407452621"/>
      </right>
      <top style="thin">
        <color theme="0" tint="-4.9989318521683403E-2"/>
      </top>
      <bottom/>
      <diagonal/>
    </border>
    <border>
      <left style="thin">
        <color indexed="64"/>
      </left>
      <right style="thin">
        <color theme="0" tint="-0.14999847407452621"/>
      </right>
      <top style="thin">
        <color theme="0" tint="-4.9989318521683403E-2"/>
      </top>
      <bottom style="thin">
        <color indexed="64"/>
      </bottom>
      <diagonal/>
    </border>
    <border>
      <left style="thin">
        <color indexed="64"/>
      </left>
      <right/>
      <top style="thin">
        <color theme="0" tint="-4.9989318521683403E-2"/>
      </top>
      <bottom/>
      <diagonal/>
    </border>
    <border>
      <left style="thin">
        <color theme="0" tint="-0.14999847407452621"/>
      </left>
      <right style="thin">
        <color theme="0" tint="-0.14999847407452621"/>
      </right>
      <top style="thin">
        <color theme="0" tint="-4.9989318521683403E-2"/>
      </top>
      <bottom style="thin">
        <color theme="0" tint="-0.249977111117893"/>
      </bottom>
      <diagonal/>
    </border>
    <border>
      <left style="thin">
        <color theme="0" tint="-0.14999847407452621"/>
      </left>
      <right style="thin">
        <color theme="0" tint="-0.14999847407452621"/>
      </right>
      <top/>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indexed="64"/>
      </left>
      <right style="thin">
        <color indexed="64"/>
      </right>
      <top/>
      <bottom style="thin">
        <color theme="0" tint="-0.249977111117893"/>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indexed="64"/>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indexed="64"/>
      </left>
      <right/>
      <top style="thin">
        <color theme="0" tint="-4.9989318521683403E-2"/>
      </top>
      <bottom style="thin">
        <color indexed="64"/>
      </bottom>
      <diagonal/>
    </border>
    <border>
      <left/>
      <right style="thin">
        <color theme="0" tint="-4.9989318521683403E-2"/>
      </right>
      <top style="thin">
        <color theme="0" tint="-4.9989318521683403E-2"/>
      </top>
      <bottom style="thin">
        <color indexed="64"/>
      </bottom>
      <diagonal/>
    </border>
    <border>
      <left style="thin">
        <color indexed="64"/>
      </left>
      <right/>
      <top style="thin">
        <color indexed="64"/>
      </top>
      <bottom style="thin">
        <color theme="0" tint="-4.9989318521683403E-2"/>
      </bottom>
      <diagonal/>
    </border>
    <border>
      <left/>
      <right style="thin">
        <color theme="0" tint="-4.9989318521683403E-2"/>
      </right>
      <top style="thin">
        <color indexed="64"/>
      </top>
      <bottom style="thin">
        <color theme="0" tint="-4.9989318521683403E-2"/>
      </bottom>
      <diagonal/>
    </border>
    <border>
      <left/>
      <right/>
      <top style="thin">
        <color indexed="64"/>
      </top>
      <bottom style="thin">
        <color theme="0" tint="-0.34998626667073579"/>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style="thin">
        <color theme="1"/>
      </bottom>
      <diagonal/>
    </border>
    <border>
      <left style="thin">
        <color theme="0" tint="-0.499984740745262"/>
      </left>
      <right/>
      <top/>
      <bottom style="thin">
        <color indexed="64"/>
      </bottom>
      <diagonal/>
    </border>
    <border>
      <left style="thin">
        <color theme="0" tint="-0.499984740745262"/>
      </left>
      <right/>
      <top style="thin">
        <color indexed="64"/>
      </top>
      <bottom/>
      <diagonal/>
    </border>
    <border>
      <left style="thin">
        <color theme="0" tint="-0.499984740745262"/>
      </left>
      <right/>
      <top/>
      <bottom/>
      <diagonal/>
    </border>
    <border>
      <left/>
      <right/>
      <top style="thin">
        <color theme="0" tint="-0.34998626667073579"/>
      </top>
      <bottom style="thin">
        <color theme="0" tint="-0.499984740745262"/>
      </bottom>
      <diagonal/>
    </border>
    <border>
      <left/>
      <right/>
      <top style="thin">
        <color theme="0" tint="-0.34998626667073579"/>
      </top>
      <bottom/>
      <diagonal/>
    </border>
    <border>
      <left/>
      <right/>
      <top style="thin">
        <color theme="0" tint="-0.499984740745262"/>
      </top>
      <bottom style="thin">
        <color theme="0" tint="-0.34998626667073579"/>
      </bottom>
      <diagonal/>
    </border>
    <border>
      <left/>
      <right/>
      <top style="thin">
        <color theme="0" tint="-0.34998626667073579"/>
      </top>
      <bottom style="thin">
        <color indexed="64"/>
      </bottom>
      <diagonal/>
    </border>
    <border>
      <left style="thin">
        <color theme="1"/>
      </left>
      <right style="thin">
        <color indexed="64"/>
      </right>
      <top style="thin">
        <color theme="1"/>
      </top>
      <bottom style="thin">
        <color theme="1"/>
      </bottom>
      <diagonal/>
    </border>
    <border>
      <left style="thin">
        <color theme="0" tint="-4.9989318521683403E-2"/>
      </left>
      <right/>
      <top style="thin">
        <color indexed="64"/>
      </top>
      <bottom/>
      <diagonal/>
    </border>
    <border>
      <left style="thin">
        <color theme="0" tint="-4.9989318521683403E-2"/>
      </left>
      <right style="thin">
        <color theme="0" tint="-4.9989318521683403E-2"/>
      </right>
      <top style="thin">
        <color theme="0" tint="-4.9989318521683403E-2"/>
      </top>
      <bottom style="thin">
        <color theme="1"/>
      </bottom>
      <diagonal/>
    </border>
    <border>
      <left style="thin">
        <color theme="0" tint="-4.9989318521683403E-2"/>
      </left>
      <right style="thin">
        <color theme="0" tint="-4.9989318521683403E-2"/>
      </right>
      <top/>
      <bottom style="thin">
        <color theme="0" tint="-4.9989318521683403E-2"/>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thin">
        <color indexed="64"/>
      </left>
      <right/>
      <top style="thin">
        <color theme="0"/>
      </top>
      <bottom style="thin">
        <color theme="0"/>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theme="0"/>
      </bottom>
      <diagonal/>
    </border>
    <border>
      <left style="thin">
        <color theme="0"/>
      </left>
      <right/>
      <top style="thin">
        <color theme="0"/>
      </top>
      <bottom style="thin">
        <color theme="0"/>
      </bottom>
      <diagonal/>
    </border>
    <border>
      <left style="thin">
        <color theme="0"/>
      </left>
      <right/>
      <top/>
      <bottom style="thin">
        <color indexed="64"/>
      </bottom>
      <diagonal/>
    </border>
    <border>
      <left style="thin">
        <color theme="0"/>
      </left>
      <right style="thin">
        <color indexed="64"/>
      </right>
      <top style="thin">
        <color theme="0"/>
      </top>
      <bottom style="thin">
        <color theme="0"/>
      </bottom>
      <diagonal/>
    </border>
    <border>
      <left style="thin">
        <color theme="0"/>
      </left>
      <right style="thin">
        <color indexed="64"/>
      </right>
      <top/>
      <bottom style="thin">
        <color indexed="64"/>
      </bottom>
      <diagonal/>
    </border>
    <border>
      <left style="thin">
        <color indexed="64"/>
      </left>
      <right style="thin">
        <color theme="0" tint="-0.14999847407452621"/>
      </right>
      <top style="thin">
        <color indexed="64"/>
      </top>
      <bottom style="thin">
        <color indexed="64"/>
      </bottom>
      <diagonal/>
    </border>
    <border>
      <left style="thin">
        <color indexed="64"/>
      </left>
      <right style="thin">
        <color theme="0" tint="-0.14999847407452621"/>
      </right>
      <top/>
      <bottom style="thin">
        <color indexed="64"/>
      </bottom>
      <diagonal/>
    </border>
    <border>
      <left style="thin">
        <color indexed="64"/>
      </left>
      <right style="thin">
        <color theme="0" tint="-0.14999847407452621"/>
      </right>
      <top style="thin">
        <color indexed="64"/>
      </top>
      <bottom style="thin">
        <color theme="0" tint="-0.499984740745262"/>
      </bottom>
      <diagonal/>
    </border>
    <border>
      <left style="thin">
        <color indexed="64"/>
      </left>
      <right style="thin">
        <color theme="0" tint="-0.14999847407452621"/>
      </right>
      <top style="thin">
        <color theme="0" tint="-0.499984740745262"/>
      </top>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style="thin">
        <color indexed="64"/>
      </top>
      <bottom style="thin">
        <color theme="0" tint="-0.499984740745262"/>
      </bottom>
      <diagonal/>
    </border>
    <border>
      <left style="thin">
        <color theme="0" tint="-0.14999847407452621"/>
      </left>
      <right style="thin">
        <color theme="0" tint="-0.14999847407452621"/>
      </right>
      <top style="thin">
        <color theme="0" tint="-0.499984740745262"/>
      </top>
      <bottom/>
      <diagonal/>
    </border>
    <border>
      <left/>
      <right/>
      <top style="thin">
        <color indexed="64"/>
      </top>
      <bottom style="thin">
        <color theme="0" tint="-0.499984740745262"/>
      </bottom>
      <diagonal/>
    </border>
    <border>
      <left/>
      <right/>
      <top style="thin">
        <color theme="0" tint="-0.499984740745262"/>
      </top>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indexed="64"/>
      </bottom>
      <diagonal/>
    </border>
    <border>
      <left/>
      <right style="thin">
        <color theme="1"/>
      </right>
      <top style="thin">
        <color theme="1"/>
      </top>
      <bottom style="thin">
        <color theme="1" tint="0.499984740745262"/>
      </bottom>
      <diagonal/>
    </border>
    <border>
      <left style="thin">
        <color theme="1"/>
      </left>
      <right style="thin">
        <color theme="1" tint="0.499984740745262"/>
      </right>
      <top style="thin">
        <color theme="1" tint="0.499984740745262"/>
      </top>
      <bottom style="thin">
        <color theme="1" tint="0.499984740745262"/>
      </bottom>
      <diagonal/>
    </border>
    <border>
      <left style="thin">
        <color theme="1" tint="0.499984740745262"/>
      </left>
      <right style="thin">
        <color theme="1"/>
      </right>
      <top style="thin">
        <color theme="1" tint="0.499984740745262"/>
      </top>
      <bottom style="thin">
        <color theme="1" tint="0.499984740745262"/>
      </bottom>
      <diagonal/>
    </border>
    <border>
      <left style="thin">
        <color theme="1" tint="0.499984740745262"/>
      </left>
      <right style="thin">
        <color theme="1"/>
      </right>
      <top style="thin">
        <color theme="1" tint="0.499984740745262"/>
      </top>
      <bottom style="thin">
        <color theme="1"/>
      </bottom>
      <diagonal/>
    </border>
    <border>
      <left/>
      <right/>
      <top style="thin">
        <color indexed="64"/>
      </top>
      <bottom style="thin">
        <color theme="1" tint="0.499984740745262"/>
      </bottom>
      <diagonal/>
    </border>
    <border>
      <left style="thin">
        <color theme="0" tint="-0.499984740745262"/>
      </left>
      <right/>
      <top style="thin">
        <color theme="1"/>
      </top>
      <bottom style="thin">
        <color theme="1"/>
      </bottom>
      <diagonal/>
    </border>
    <border>
      <left style="thin">
        <color theme="1"/>
      </left>
      <right style="thin">
        <color theme="1" tint="0.499984740745262"/>
      </right>
      <top/>
      <bottom style="thin">
        <color theme="1" tint="0.499984740745262"/>
      </bottom>
      <diagonal/>
    </border>
    <border>
      <left/>
      <right style="thin">
        <color theme="1"/>
      </right>
      <top/>
      <bottom style="thin">
        <color theme="1" tint="0.499984740745262"/>
      </bottom>
      <diagonal/>
    </border>
    <border>
      <left style="thin">
        <color theme="1"/>
      </left>
      <right style="thin">
        <color theme="1" tint="0.499984740745262"/>
      </right>
      <top style="thin">
        <color theme="1" tint="0.499984740745262"/>
      </top>
      <bottom style="thin">
        <color theme="1"/>
      </bottom>
      <diagonal/>
    </border>
    <border>
      <left style="thin">
        <color theme="1"/>
      </left>
      <right style="thin">
        <color theme="1" tint="0.499984740745262"/>
      </right>
      <top style="thin">
        <color theme="1"/>
      </top>
      <bottom style="thin">
        <color theme="1" tint="0.499984740745262"/>
      </bottom>
      <diagonal/>
    </border>
    <border>
      <left style="thin">
        <color theme="1"/>
      </left>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indexed="64"/>
      </right>
      <top/>
      <bottom style="thin">
        <color theme="0" tint="-0.14999847407452621"/>
      </bottom>
      <diagonal/>
    </border>
    <border>
      <left/>
      <right/>
      <top/>
      <bottom style="thin">
        <color theme="0"/>
      </bottom>
      <diagonal/>
    </border>
    <border>
      <left style="thin">
        <color theme="0" tint="-0.249977111117893"/>
      </left>
      <right style="thin">
        <color theme="1" tint="0.499984740745262"/>
      </right>
      <top style="thin">
        <color theme="1"/>
      </top>
      <bottom style="thin">
        <color theme="0" tint="-0.249977111117893"/>
      </bottom>
      <diagonal/>
    </border>
    <border>
      <left style="thin">
        <color theme="0" tint="-0.249977111117893"/>
      </left>
      <right style="thin">
        <color theme="1" tint="0.499984740745262"/>
      </right>
      <top style="thin">
        <color theme="0" tint="-0.249977111117893"/>
      </top>
      <bottom/>
      <diagonal/>
    </border>
    <border>
      <left/>
      <right style="thin">
        <color theme="1" tint="0.499984740745262"/>
      </right>
      <top style="thin">
        <color indexed="64"/>
      </top>
      <bottom style="thin">
        <color indexed="64"/>
      </bottom>
      <diagonal/>
    </border>
    <border>
      <left style="thin">
        <color theme="1"/>
      </left>
      <right style="thin">
        <color theme="1" tint="0.499984740745262"/>
      </right>
      <top style="thin">
        <color theme="1"/>
      </top>
      <bottom style="thin">
        <color theme="0" tint="-0.249977111117893"/>
      </bottom>
      <diagonal/>
    </border>
    <border>
      <left style="thin">
        <color theme="1"/>
      </left>
      <right style="thin">
        <color theme="1" tint="0.499984740745262"/>
      </right>
      <top style="thin">
        <color theme="0" tint="-0.249977111117893"/>
      </top>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theme="1"/>
      </top>
      <bottom style="thin">
        <color theme="0" tint="-0.249977111117893"/>
      </bottom>
      <diagonal/>
    </border>
    <border>
      <left style="thin">
        <color theme="1" tint="0.499984740745262"/>
      </left>
      <right style="thin">
        <color theme="1" tint="0.499984740745262"/>
      </right>
      <top style="thin">
        <color theme="0" tint="-0.249977111117893"/>
      </top>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theme="0" tint="-0.249977111117893"/>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1"/>
      </bottom>
      <diagonal/>
    </border>
  </borders>
  <cellStyleXfs count="6">
    <xf numFmtId="0" fontId="0" fillId="0" borderId="0"/>
    <xf numFmtId="0" fontId="16" fillId="0" borderId="0"/>
    <xf numFmtId="0" fontId="17" fillId="0" borderId="0"/>
    <xf numFmtId="9" fontId="23" fillId="0" borderId="0" applyFont="0" applyFill="0" applyBorder="0" applyAlignment="0" applyProtection="0"/>
    <xf numFmtId="0" fontId="14" fillId="0" borderId="0"/>
    <xf numFmtId="0" fontId="17" fillId="0" borderId="0"/>
  </cellStyleXfs>
  <cellXfs count="747">
    <xf numFmtId="0" fontId="0" fillId="0" borderId="0" xfId="0"/>
    <xf numFmtId="0" fontId="0" fillId="2" borderId="0" xfId="0" applyFill="1"/>
    <xf numFmtId="0" fontId="0" fillId="5" borderId="0" xfId="0" applyFill="1"/>
    <xf numFmtId="0" fontId="3" fillId="5" borderId="0" xfId="0" applyFont="1" applyFill="1"/>
    <xf numFmtId="0" fontId="14" fillId="5" borderId="6" xfId="0" applyFont="1" applyFill="1" applyBorder="1" applyAlignment="1">
      <alignment horizontal="center"/>
    </xf>
    <xf numFmtId="0" fontId="0" fillId="4" borderId="4" xfId="0" applyFill="1" applyBorder="1"/>
    <xf numFmtId="0" fontId="3" fillId="5" borderId="0" xfId="0" applyFont="1" applyFill="1" applyAlignment="1">
      <alignment horizontal="right"/>
    </xf>
    <xf numFmtId="0" fontId="0" fillId="5" borderId="1" xfId="0" applyFill="1" applyBorder="1"/>
    <xf numFmtId="0" fontId="0" fillId="5" borderId="0" xfId="0" applyFill="1" applyAlignment="1">
      <alignment horizontal="center"/>
    </xf>
    <xf numFmtId="0" fontId="3" fillId="5" borderId="1" xfId="0" applyFont="1" applyFill="1" applyBorder="1" applyAlignment="1">
      <alignment horizontal="center"/>
    </xf>
    <xf numFmtId="0" fontId="3" fillId="5" borderId="13" xfId="0" applyFont="1" applyFill="1" applyBorder="1" applyAlignment="1">
      <alignment horizontal="center"/>
    </xf>
    <xf numFmtId="0" fontId="0" fillId="4" borderId="5" xfId="0" applyFill="1" applyBorder="1"/>
    <xf numFmtId="0" fontId="2" fillId="4" borderId="0" xfId="0" applyFont="1" applyFill="1"/>
    <xf numFmtId="0" fontId="3" fillId="5" borderId="15" xfId="0" applyFont="1" applyFill="1" applyBorder="1" applyAlignment="1">
      <alignment horizontal="center"/>
    </xf>
    <xf numFmtId="0" fontId="3" fillId="5" borderId="7" xfId="0" applyFont="1" applyFill="1" applyBorder="1" applyAlignment="1">
      <alignment horizontal="center"/>
    </xf>
    <xf numFmtId="0" fontId="0" fillId="5" borderId="15" xfId="0" applyFill="1" applyBorder="1"/>
    <xf numFmtId="0" fontId="3" fillId="5" borderId="6" xfId="0" applyFont="1" applyFill="1" applyBorder="1" applyAlignment="1">
      <alignment horizontal="center"/>
    </xf>
    <xf numFmtId="0" fontId="2" fillId="5" borderId="0" xfId="0" applyFont="1" applyFill="1"/>
    <xf numFmtId="0" fontId="0" fillId="11" borderId="5" xfId="0" applyFill="1" applyBorder="1"/>
    <xf numFmtId="0" fontId="0" fillId="11" borderId="3" xfId="0" applyFill="1" applyBorder="1"/>
    <xf numFmtId="0" fontId="0" fillId="11" borderId="4" xfId="0" applyFill="1" applyBorder="1"/>
    <xf numFmtId="0" fontId="2" fillId="11" borderId="0" xfId="0" applyFont="1" applyFill="1"/>
    <xf numFmtId="0" fontId="2" fillId="5" borderId="15" xfId="0" applyFont="1" applyFill="1" applyBorder="1" applyAlignment="1">
      <alignment horizontal="right"/>
    </xf>
    <xf numFmtId="0" fontId="2" fillId="5" borderId="3" xfId="0" applyFont="1" applyFill="1" applyBorder="1" applyAlignment="1">
      <alignment horizontal="right"/>
    </xf>
    <xf numFmtId="11" fontId="0" fillId="0" borderId="9" xfId="0" applyNumberFormat="1" applyBorder="1"/>
    <xf numFmtId="11" fontId="0" fillId="5" borderId="9" xfId="0" applyNumberFormat="1" applyFill="1" applyBorder="1"/>
    <xf numFmtId="11" fontId="0" fillId="5" borderId="1" xfId="0" applyNumberFormat="1" applyFill="1" applyBorder="1"/>
    <xf numFmtId="0" fontId="0" fillId="5" borderId="0" xfId="0" applyFill="1" applyAlignment="1">
      <alignment horizontal="right"/>
    </xf>
    <xf numFmtId="0" fontId="0" fillId="4" borderId="4" xfId="0" applyFill="1" applyBorder="1" applyAlignment="1">
      <alignment horizontal="center"/>
    </xf>
    <xf numFmtId="0" fontId="0" fillId="4" borderId="5" xfId="0" applyFill="1" applyBorder="1" applyAlignment="1">
      <alignment horizontal="center"/>
    </xf>
    <xf numFmtId="0" fontId="0" fillId="5" borderId="0" xfId="0" applyFill="1" applyAlignment="1">
      <alignment horizontal="left"/>
    </xf>
    <xf numFmtId="0" fontId="14" fillId="5" borderId="0" xfId="0" applyFont="1" applyFill="1" applyAlignment="1">
      <alignment horizontal="right"/>
    </xf>
    <xf numFmtId="0" fontId="14" fillId="5" borderId="7" xfId="0" applyFont="1" applyFill="1" applyBorder="1" applyAlignment="1">
      <alignment horizontal="right"/>
    </xf>
    <xf numFmtId="0" fontId="14" fillId="5" borderId="15" xfId="0" applyFont="1" applyFill="1" applyBorder="1" applyAlignment="1">
      <alignment horizontal="center"/>
    </xf>
    <xf numFmtId="0" fontId="0" fillId="11" borderId="11" xfId="0" applyFill="1" applyBorder="1" applyAlignment="1">
      <alignment horizontal="center"/>
    </xf>
    <xf numFmtId="0" fontId="0" fillId="11" borderId="13" xfId="0" applyFill="1" applyBorder="1" applyAlignment="1">
      <alignment horizontal="center"/>
    </xf>
    <xf numFmtId="0" fontId="39" fillId="5" borderId="0" xfId="0" applyFont="1" applyFill="1"/>
    <xf numFmtId="0" fontId="37" fillId="5" borderId="0" xfId="0" applyFont="1" applyFill="1"/>
    <xf numFmtId="0" fontId="2" fillId="5" borderId="8" xfId="0" applyFont="1" applyFill="1" applyBorder="1" applyAlignment="1">
      <alignment horizontal="left"/>
    </xf>
    <xf numFmtId="0" fontId="44" fillId="5" borderId="8" xfId="0" applyFont="1" applyFill="1" applyBorder="1" applyAlignment="1">
      <alignment horizontal="left"/>
    </xf>
    <xf numFmtId="0" fontId="42" fillId="5" borderId="8" xfId="0" applyFont="1" applyFill="1" applyBorder="1" applyAlignment="1">
      <alignment horizontal="left"/>
    </xf>
    <xf numFmtId="0" fontId="58" fillId="6" borderId="1" xfId="0" applyFont="1" applyFill="1" applyBorder="1" applyAlignment="1">
      <alignment horizontal="center"/>
    </xf>
    <xf numFmtId="0" fontId="59" fillId="11" borderId="4" xfId="0" applyFont="1" applyFill="1" applyBorder="1"/>
    <xf numFmtId="0" fontId="59" fillId="11" borderId="5" xfId="0" applyFont="1" applyFill="1" applyBorder="1"/>
    <xf numFmtId="0" fontId="59" fillId="4" borderId="4" xfId="0" applyFont="1" applyFill="1" applyBorder="1"/>
    <xf numFmtId="0" fontId="59" fillId="4" borderId="5" xfId="0" applyFont="1" applyFill="1" applyBorder="1"/>
    <xf numFmtId="0" fontId="17" fillId="5" borderId="0" xfId="0" applyFont="1" applyFill="1" applyAlignment="1">
      <alignment wrapText="1"/>
    </xf>
    <xf numFmtId="0" fontId="0" fillId="5" borderId="12" xfId="0" applyFill="1" applyBorder="1" applyAlignment="1">
      <alignment horizontal="center"/>
    </xf>
    <xf numFmtId="0" fontId="0" fillId="5" borderId="11" xfId="0"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59" fillId="5" borderId="0" xfId="0" applyFont="1" applyFill="1"/>
    <xf numFmtId="0" fontId="58" fillId="6" borderId="0" xfId="0" applyFont="1" applyFill="1" applyAlignment="1">
      <alignment horizontal="center"/>
    </xf>
    <xf numFmtId="0" fontId="59" fillId="5" borderId="40" xfId="0" applyFont="1" applyFill="1" applyBorder="1" applyAlignment="1">
      <alignment horizontal="center"/>
    </xf>
    <xf numFmtId="0" fontId="59" fillId="5" borderId="41" xfId="0" applyFont="1" applyFill="1" applyBorder="1" applyAlignment="1">
      <alignment horizontal="center"/>
    </xf>
    <xf numFmtId="0" fontId="59" fillId="4" borderId="11" xfId="0" applyFont="1" applyFill="1" applyBorder="1"/>
    <xf numFmtId="0" fontId="59" fillId="5" borderId="30" xfId="0" applyFont="1" applyFill="1" applyBorder="1" applyAlignment="1">
      <alignment horizontal="center"/>
    </xf>
    <xf numFmtId="0" fontId="59" fillId="5" borderId="35" xfId="0" applyFont="1" applyFill="1" applyBorder="1" applyAlignment="1">
      <alignment horizontal="center"/>
    </xf>
    <xf numFmtId="0" fontId="59" fillId="5" borderId="42" xfId="0" applyFont="1" applyFill="1" applyBorder="1" applyAlignment="1">
      <alignment horizontal="center"/>
    </xf>
    <xf numFmtId="0" fontId="39" fillId="5" borderId="0" xfId="0" applyFont="1" applyFill="1" applyAlignment="1">
      <alignment horizontal="left"/>
    </xf>
    <xf numFmtId="0" fontId="3" fillId="5" borderId="0" xfId="0" applyFont="1" applyFill="1" applyProtection="1">
      <protection locked="0"/>
    </xf>
    <xf numFmtId="0" fontId="57" fillId="12" borderId="15" xfId="0" applyFont="1" applyFill="1" applyBorder="1" applyAlignment="1" applyProtection="1">
      <alignment horizontal="right"/>
      <protection locked="0"/>
    </xf>
    <xf numFmtId="0" fontId="12" fillId="5" borderId="0" xfId="0" applyFont="1" applyFill="1"/>
    <xf numFmtId="169" fontId="16" fillId="4" borderId="18" xfId="3" applyNumberFormat="1" applyFont="1" applyFill="1" applyBorder="1" applyProtection="1"/>
    <xf numFmtId="169" fontId="16" fillId="4" borderId="16" xfId="3" applyNumberFormat="1" applyFont="1" applyFill="1" applyBorder="1" applyProtection="1"/>
    <xf numFmtId="169" fontId="16" fillId="4" borderId="21" xfId="3" applyNumberFormat="1" applyFont="1" applyFill="1" applyBorder="1" applyProtection="1"/>
    <xf numFmtId="169" fontId="16" fillId="7" borderId="18" xfId="3" applyNumberFormat="1" applyFont="1" applyFill="1" applyBorder="1" applyProtection="1"/>
    <xf numFmtId="169" fontId="16" fillId="7" borderId="16" xfId="3" applyNumberFormat="1" applyFont="1" applyFill="1" applyBorder="1" applyProtection="1"/>
    <xf numFmtId="169" fontId="16" fillId="7" borderId="21" xfId="3" applyNumberFormat="1" applyFont="1" applyFill="1" applyBorder="1" applyProtection="1"/>
    <xf numFmtId="169" fontId="16" fillId="10" borderId="26" xfId="3" applyNumberFormat="1" applyFont="1" applyFill="1" applyBorder="1" applyProtection="1"/>
    <xf numFmtId="169" fontId="16" fillId="10" borderId="23" xfId="3" applyNumberFormat="1" applyFont="1" applyFill="1" applyBorder="1" applyProtection="1"/>
    <xf numFmtId="169" fontId="16" fillId="10" borderId="24" xfId="3" applyNumberFormat="1" applyFont="1" applyFill="1" applyBorder="1" applyProtection="1"/>
    <xf numFmtId="9" fontId="3" fillId="5" borderId="0" xfId="3" applyFont="1" applyFill="1" applyProtection="1"/>
    <xf numFmtId="0" fontId="0" fillId="5" borderId="0" xfId="0" applyFill="1" applyProtection="1">
      <protection locked="0"/>
    </xf>
    <xf numFmtId="0" fontId="50" fillId="5" borderId="0" xfId="2" applyFont="1" applyFill="1" applyAlignment="1">
      <alignment wrapText="1"/>
    </xf>
    <xf numFmtId="0" fontId="50" fillId="0" borderId="0" xfId="2" applyFont="1" applyAlignment="1" applyProtection="1">
      <alignment horizontal="center" wrapText="1"/>
      <protection locked="0"/>
    </xf>
    <xf numFmtId="0" fontId="50" fillId="0" borderId="1" xfId="2" applyFont="1" applyBorder="1" applyAlignment="1" applyProtection="1">
      <alignment horizontal="center" wrapText="1"/>
      <protection locked="0"/>
    </xf>
    <xf numFmtId="0" fontId="0" fillId="5" borderId="1" xfId="0" applyFill="1" applyBorder="1" applyAlignment="1">
      <alignment horizontal="center"/>
    </xf>
    <xf numFmtId="0" fontId="50" fillId="5" borderId="0" xfId="2" applyFont="1" applyFill="1" applyAlignment="1">
      <alignment horizontal="center" wrapText="1"/>
    </xf>
    <xf numFmtId="0" fontId="50" fillId="5" borderId="1" xfId="2" applyFont="1" applyFill="1" applyBorder="1" applyAlignment="1">
      <alignment horizontal="center" wrapText="1"/>
    </xf>
    <xf numFmtId="0" fontId="58" fillId="5" borderId="0" xfId="0" applyFont="1" applyFill="1" applyAlignment="1">
      <alignment horizontal="center"/>
    </xf>
    <xf numFmtId="0" fontId="59" fillId="5" borderId="0" xfId="0" applyFont="1" applyFill="1" applyAlignment="1">
      <alignment horizontal="center"/>
    </xf>
    <xf numFmtId="0" fontId="0" fillId="20" borderId="63" xfId="0" applyFill="1" applyBorder="1"/>
    <xf numFmtId="0" fontId="40" fillId="12" borderId="4" xfId="0" applyFont="1" applyFill="1" applyBorder="1"/>
    <xf numFmtId="0" fontId="0" fillId="5" borderId="39" xfId="0" applyFill="1" applyBorder="1"/>
    <xf numFmtId="0" fontId="16" fillId="16" borderId="4" xfId="0" applyFont="1" applyFill="1" applyBorder="1"/>
    <xf numFmtId="0" fontId="0" fillId="20" borderId="39" xfId="0" applyFill="1" applyBorder="1"/>
    <xf numFmtId="0" fontId="16" fillId="17" borderId="4" xfId="0" applyFont="1" applyFill="1" applyBorder="1"/>
    <xf numFmtId="0" fontId="16" fillId="12" borderId="4" xfId="0" applyFont="1" applyFill="1" applyBorder="1"/>
    <xf numFmtId="0" fontId="0" fillId="5" borderId="64" xfId="0" applyFill="1" applyBorder="1"/>
    <xf numFmtId="0" fontId="0" fillId="5" borderId="1" xfId="0" applyFill="1" applyBorder="1" applyAlignment="1">
      <alignment horizontal="left"/>
    </xf>
    <xf numFmtId="11" fontId="54" fillId="0" borderId="29" xfId="0" applyNumberFormat="1" applyFont="1" applyBorder="1" applyAlignment="1" applyProtection="1">
      <alignment horizontal="right"/>
      <protection locked="0"/>
    </xf>
    <xf numFmtId="11" fontId="54" fillId="0" borderId="56" xfId="0" applyNumberFormat="1" applyFont="1" applyBorder="1" applyAlignment="1" applyProtection="1">
      <alignment horizontal="right"/>
      <protection locked="0"/>
    </xf>
    <xf numFmtId="11" fontId="54" fillId="0" borderId="55" xfId="0" applyNumberFormat="1" applyFont="1" applyBorder="1" applyAlignment="1" applyProtection="1">
      <alignment horizontal="right"/>
      <protection locked="0"/>
    </xf>
    <xf numFmtId="11" fontId="54" fillId="0" borderId="72" xfId="0" applyNumberFormat="1" applyFont="1" applyBorder="1" applyAlignment="1" applyProtection="1">
      <alignment horizontal="right"/>
      <protection locked="0"/>
    </xf>
    <xf numFmtId="11" fontId="54" fillId="0" borderId="65" xfId="0" applyNumberFormat="1" applyFont="1" applyBorder="1" applyAlignment="1" applyProtection="1">
      <alignment horizontal="right"/>
      <protection locked="0"/>
    </xf>
    <xf numFmtId="11" fontId="54" fillId="0" borderId="66" xfId="0" applyNumberFormat="1" applyFont="1" applyBorder="1" applyAlignment="1" applyProtection="1">
      <alignment horizontal="right"/>
      <protection locked="0"/>
    </xf>
    <xf numFmtId="0" fontId="0" fillId="0" borderId="73" xfId="0" applyBorder="1" applyProtection="1">
      <protection locked="0"/>
    </xf>
    <xf numFmtId="0" fontId="0" fillId="21" borderId="0" xfId="0" applyFill="1"/>
    <xf numFmtId="0" fontId="3" fillId="21" borderId="0" xfId="0" applyFont="1" applyFill="1" applyProtection="1">
      <protection locked="0"/>
    </xf>
    <xf numFmtId="0" fontId="3" fillId="21" borderId="0" xfId="0" applyFont="1" applyFill="1"/>
    <xf numFmtId="2" fontId="3" fillId="21" borderId="0" xfId="0" applyNumberFormat="1" applyFont="1" applyFill="1"/>
    <xf numFmtId="2" fontId="3" fillId="21" borderId="0" xfId="0" applyNumberFormat="1" applyFont="1" applyFill="1" applyProtection="1">
      <protection locked="0"/>
    </xf>
    <xf numFmtId="0" fontId="0" fillId="0" borderId="0" xfId="0" applyProtection="1">
      <protection locked="0"/>
    </xf>
    <xf numFmtId="0" fontId="0" fillId="0" borderId="12" xfId="0" applyBorder="1" applyProtection="1">
      <protection locked="0"/>
    </xf>
    <xf numFmtId="0" fontId="66" fillId="11" borderId="0" xfId="0" applyFont="1" applyFill="1"/>
    <xf numFmtId="0" fontId="65" fillId="5" borderId="0" xfId="0" applyFont="1" applyFill="1"/>
    <xf numFmtId="0" fontId="66" fillId="4" borderId="0" xfId="0" applyFont="1" applyFill="1"/>
    <xf numFmtId="0" fontId="66" fillId="5" borderId="0" xfId="0" applyFont="1" applyFill="1"/>
    <xf numFmtId="0" fontId="14" fillId="5" borderId="7" xfId="0" applyFont="1" applyFill="1" applyBorder="1" applyAlignment="1">
      <alignment horizontal="center"/>
    </xf>
    <xf numFmtId="0" fontId="3" fillId="5" borderId="11" xfId="0" applyFont="1" applyFill="1" applyBorder="1" applyAlignment="1">
      <alignment horizontal="center"/>
    </xf>
    <xf numFmtId="0" fontId="3" fillId="5" borderId="12" xfId="0" applyFont="1" applyFill="1" applyBorder="1" applyAlignment="1">
      <alignment horizontal="center"/>
    </xf>
    <xf numFmtId="0" fontId="0" fillId="21" borderId="0" xfId="0" applyFill="1" applyAlignment="1">
      <alignment horizontal="center"/>
    </xf>
    <xf numFmtId="0" fontId="65" fillId="5" borderId="77" xfId="0" applyFont="1" applyFill="1" applyBorder="1"/>
    <xf numFmtId="0" fontId="67" fillId="6" borderId="75" xfId="0" applyFont="1" applyFill="1" applyBorder="1" applyAlignment="1">
      <alignment horizontal="center"/>
    </xf>
    <xf numFmtId="0" fontId="65" fillId="5" borderId="83" xfId="0" applyFont="1" applyFill="1" applyBorder="1"/>
    <xf numFmtId="2" fontId="3" fillId="21" borderId="0" xfId="0" applyNumberFormat="1" applyFont="1" applyFill="1" applyAlignment="1">
      <alignment horizontal="center"/>
    </xf>
    <xf numFmtId="0" fontId="3" fillId="21" borderId="0" xfId="0" applyFont="1" applyFill="1" applyAlignment="1">
      <alignment horizontal="center"/>
    </xf>
    <xf numFmtId="0" fontId="0" fillId="18" borderId="8" xfId="0" applyFill="1" applyBorder="1" applyAlignment="1">
      <alignment horizontal="center"/>
    </xf>
    <xf numFmtId="2" fontId="0" fillId="18" borderId="4" xfId="0" applyNumberFormat="1" applyFill="1" applyBorder="1" applyAlignment="1">
      <alignment horizontal="center"/>
    </xf>
    <xf numFmtId="0" fontId="0" fillId="18" borderId="11" xfId="0" applyFill="1" applyBorder="1" applyAlignment="1">
      <alignment horizontal="center"/>
    </xf>
    <xf numFmtId="2" fontId="0" fillId="18" borderId="11" xfId="0" applyNumberFormat="1" applyFill="1" applyBorder="1" applyAlignment="1">
      <alignment horizontal="center"/>
    </xf>
    <xf numFmtId="2" fontId="0" fillId="18" borderId="5" xfId="0" applyNumberFormat="1" applyFill="1" applyBorder="1" applyAlignment="1">
      <alignment horizontal="center"/>
    </xf>
    <xf numFmtId="2" fontId="0" fillId="19" borderId="8" xfId="0" applyNumberFormat="1" applyFill="1" applyBorder="1" applyAlignment="1">
      <alignment horizontal="center"/>
    </xf>
    <xf numFmtId="0" fontId="0" fillId="19" borderId="11" xfId="0" applyFill="1" applyBorder="1" applyAlignment="1">
      <alignment horizontal="center"/>
    </xf>
    <xf numFmtId="0" fontId="0" fillId="6" borderId="0" xfId="0" applyFill="1" applyAlignment="1">
      <alignment horizontal="left" vertical="center"/>
    </xf>
    <xf numFmtId="0" fontId="0" fillId="6" borderId="0" xfId="0" applyFill="1" applyAlignment="1">
      <alignment horizontal="center" vertical="center"/>
    </xf>
    <xf numFmtId="0" fontId="0" fillId="6" borderId="0" xfId="0" applyFill="1"/>
    <xf numFmtId="0" fontId="0" fillId="6" borderId="0" xfId="0" applyFill="1" applyAlignment="1">
      <alignment horizontal="left"/>
    </xf>
    <xf numFmtId="49" fontId="71" fillId="6" borderId="0" xfId="0" applyNumberFormat="1" applyFont="1" applyFill="1" applyAlignment="1">
      <alignment horizontal="center" vertical="center"/>
    </xf>
    <xf numFmtId="0" fontId="71" fillId="6" borderId="0" xfId="0" applyFont="1" applyFill="1" applyAlignment="1">
      <alignment horizontal="left" vertical="center"/>
    </xf>
    <xf numFmtId="49" fontId="71" fillId="6" borderId="0" xfId="0" applyNumberFormat="1" applyFont="1" applyFill="1"/>
    <xf numFmtId="0" fontId="71" fillId="6" borderId="0" xfId="0" applyFont="1" applyFill="1" applyAlignment="1">
      <alignment horizontal="left"/>
    </xf>
    <xf numFmtId="49" fontId="0" fillId="6" borderId="0" xfId="0" applyNumberFormat="1" applyFill="1"/>
    <xf numFmtId="0" fontId="0" fillId="12" borderId="0" xfId="0" applyFill="1"/>
    <xf numFmtId="2" fontId="0" fillId="19" borderId="13" xfId="0" applyNumberFormat="1" applyFill="1" applyBorder="1" applyAlignment="1">
      <alignment horizontal="center"/>
    </xf>
    <xf numFmtId="0" fontId="2" fillId="5" borderId="40" xfId="0" applyFont="1" applyFill="1" applyBorder="1" applyAlignment="1">
      <alignment horizontal="right"/>
    </xf>
    <xf numFmtId="0" fontId="0" fillId="11" borderId="8" xfId="0" applyFill="1" applyBorder="1" applyAlignment="1">
      <alignment horizontal="center"/>
    </xf>
    <xf numFmtId="0" fontId="0" fillId="18" borderId="13" xfId="0" applyFill="1" applyBorder="1" applyAlignment="1">
      <alignment horizontal="center"/>
    </xf>
    <xf numFmtId="0" fontId="14" fillId="21" borderId="5" xfId="0" applyFont="1" applyFill="1" applyBorder="1" applyAlignment="1">
      <alignment horizontal="center"/>
    </xf>
    <xf numFmtId="0" fontId="75" fillId="6" borderId="15" xfId="0" applyFont="1" applyFill="1" applyBorder="1" applyAlignment="1">
      <alignment horizontal="center"/>
    </xf>
    <xf numFmtId="0" fontId="75" fillId="6" borderId="7" xfId="0" applyFont="1" applyFill="1" applyBorder="1" applyAlignment="1">
      <alignment horizontal="center"/>
    </xf>
    <xf numFmtId="0" fontId="76" fillId="21" borderId="3" xfId="0" applyFont="1" applyFill="1" applyBorder="1" applyAlignment="1">
      <alignment horizontal="center"/>
    </xf>
    <xf numFmtId="165" fontId="14" fillId="21" borderId="5" xfId="0" applyNumberFormat="1" applyFont="1" applyFill="1" applyBorder="1" applyAlignment="1">
      <alignment horizontal="center"/>
    </xf>
    <xf numFmtId="0" fontId="79" fillId="6" borderId="1" xfId="0" applyFont="1" applyFill="1" applyBorder="1"/>
    <xf numFmtId="0" fontId="79" fillId="6" borderId="1" xfId="0" applyFont="1" applyFill="1" applyBorder="1" applyAlignment="1">
      <alignment horizontal="center"/>
    </xf>
    <xf numFmtId="0" fontId="77" fillId="6" borderId="9" xfId="0" applyFont="1" applyFill="1" applyBorder="1"/>
    <xf numFmtId="0" fontId="79" fillId="6" borderId="9" xfId="0" applyFont="1" applyFill="1" applyBorder="1" applyAlignment="1">
      <alignment horizontal="center"/>
    </xf>
    <xf numFmtId="0" fontId="78" fillId="40" borderId="111" xfId="2" applyFont="1" applyFill="1" applyBorder="1" applyAlignment="1">
      <alignment vertical="center" wrapText="1"/>
    </xf>
    <xf numFmtId="0" fontId="78" fillId="40" borderId="111" xfId="2" applyFont="1" applyFill="1" applyBorder="1" applyAlignment="1">
      <alignment horizontal="center" vertical="center" wrapText="1"/>
    </xf>
    <xf numFmtId="0" fontId="78" fillId="39" borderId="111" xfId="2" applyFont="1" applyFill="1" applyBorder="1" applyAlignment="1">
      <alignment vertical="center" wrapText="1"/>
    </xf>
    <xf numFmtId="0" fontId="78" fillId="39" borderId="111" xfId="2" applyFont="1" applyFill="1" applyBorder="1" applyAlignment="1">
      <alignment horizontal="center" vertical="center" wrapText="1"/>
    </xf>
    <xf numFmtId="0" fontId="78" fillId="30" borderId="111" xfId="2" applyFont="1" applyFill="1" applyBorder="1" applyAlignment="1">
      <alignment vertical="center" wrapText="1"/>
    </xf>
    <xf numFmtId="0" fontId="78" fillId="30" borderId="111" xfId="2" applyFont="1" applyFill="1" applyBorder="1" applyAlignment="1">
      <alignment horizontal="center" vertical="center" wrapText="1"/>
    </xf>
    <xf numFmtId="0" fontId="78" fillId="29" borderId="111" xfId="2" applyFont="1" applyFill="1" applyBorder="1" applyAlignment="1">
      <alignment vertical="center" wrapText="1"/>
    </xf>
    <xf numFmtId="0" fontId="78" fillId="29" borderId="111" xfId="2" applyFont="1" applyFill="1" applyBorder="1" applyAlignment="1">
      <alignment horizontal="center" vertical="center" wrapText="1"/>
    </xf>
    <xf numFmtId="0" fontId="78" fillId="38" borderId="111" xfId="2" applyFont="1" applyFill="1" applyBorder="1" applyAlignment="1">
      <alignment vertical="center" wrapText="1"/>
    </xf>
    <xf numFmtId="0" fontId="78" fillId="38" borderId="111" xfId="2" applyFont="1" applyFill="1" applyBorder="1" applyAlignment="1">
      <alignment horizontal="center" vertical="center" wrapText="1"/>
    </xf>
    <xf numFmtId="0" fontId="78" fillId="37" borderId="111" xfId="2" applyFont="1" applyFill="1" applyBorder="1" applyAlignment="1">
      <alignment vertical="center" wrapText="1"/>
    </xf>
    <xf numFmtId="0" fontId="78" fillId="37" borderId="111" xfId="2" applyFont="1" applyFill="1" applyBorder="1" applyAlignment="1">
      <alignment horizontal="center" vertical="center" wrapText="1"/>
    </xf>
    <xf numFmtId="0" fontId="78" fillId="28" borderId="111" xfId="2" applyFont="1" applyFill="1" applyBorder="1" applyAlignment="1">
      <alignment vertical="center" wrapText="1"/>
    </xf>
    <xf numFmtId="0" fontId="78" fillId="28" borderId="111" xfId="2" applyFont="1" applyFill="1" applyBorder="1" applyAlignment="1">
      <alignment horizontal="center" vertical="center" wrapText="1"/>
    </xf>
    <xf numFmtId="0" fontId="78" fillId="27" borderId="111" xfId="2" applyFont="1" applyFill="1" applyBorder="1" applyAlignment="1">
      <alignment vertical="center" wrapText="1"/>
    </xf>
    <xf numFmtId="0" fontId="78" fillId="27" borderId="111" xfId="2" applyFont="1" applyFill="1" applyBorder="1" applyAlignment="1">
      <alignment horizontal="center" vertical="center" wrapText="1"/>
    </xf>
    <xf numFmtId="0" fontId="78" fillId="43" borderId="111" xfId="2" applyFont="1" applyFill="1" applyBorder="1" applyAlignment="1">
      <alignment vertical="center" wrapText="1"/>
    </xf>
    <xf numFmtId="0" fontId="78" fillId="43" borderId="111" xfId="2" applyFont="1" applyFill="1" applyBorder="1" applyAlignment="1">
      <alignment horizontal="center" vertical="center" wrapText="1"/>
    </xf>
    <xf numFmtId="0" fontId="78" fillId="35" borderId="111" xfId="2" applyFont="1" applyFill="1" applyBorder="1" applyAlignment="1">
      <alignment vertical="center" wrapText="1"/>
    </xf>
    <xf numFmtId="0" fontId="78" fillId="35" borderId="111" xfId="2" applyFont="1" applyFill="1" applyBorder="1" applyAlignment="1">
      <alignment horizontal="center" vertical="center" wrapText="1"/>
    </xf>
    <xf numFmtId="0" fontId="78" fillId="34" borderId="111" xfId="2" applyFont="1" applyFill="1" applyBorder="1" applyAlignment="1">
      <alignment vertical="center" wrapText="1"/>
    </xf>
    <xf numFmtId="0" fontId="78" fillId="34" borderId="111" xfId="2" applyFont="1" applyFill="1" applyBorder="1" applyAlignment="1">
      <alignment horizontal="center" vertical="center" wrapText="1"/>
    </xf>
    <xf numFmtId="0" fontId="81" fillId="25" borderId="111" xfId="2" applyFont="1" applyFill="1" applyBorder="1" applyAlignment="1">
      <alignment vertical="center" wrapText="1"/>
    </xf>
    <xf numFmtId="0" fontId="81" fillId="25" borderId="111" xfId="2" applyFont="1" applyFill="1" applyBorder="1" applyAlignment="1">
      <alignment horizontal="center" vertical="center" wrapText="1"/>
    </xf>
    <xf numFmtId="0" fontId="78" fillId="33" borderId="111" xfId="2" applyFont="1" applyFill="1" applyBorder="1" applyAlignment="1">
      <alignment vertical="center" wrapText="1"/>
    </xf>
    <xf numFmtId="0" fontId="78" fillId="33" borderId="111" xfId="2" applyFont="1" applyFill="1" applyBorder="1" applyAlignment="1">
      <alignment horizontal="center" vertical="center" wrapText="1"/>
    </xf>
    <xf numFmtId="0" fontId="78" fillId="24" borderId="111" xfId="2" applyFont="1" applyFill="1" applyBorder="1" applyAlignment="1">
      <alignment vertical="center" wrapText="1"/>
    </xf>
    <xf numFmtId="0" fontId="78" fillId="24" borderId="111" xfId="2" applyFont="1" applyFill="1" applyBorder="1" applyAlignment="1">
      <alignment horizontal="center" vertical="center" wrapText="1"/>
    </xf>
    <xf numFmtId="0" fontId="78" fillId="23" borderId="111" xfId="2" applyFont="1" applyFill="1" applyBorder="1" applyAlignment="1">
      <alignment vertical="center" wrapText="1"/>
    </xf>
    <xf numFmtId="0" fontId="78" fillId="23" borderId="111" xfId="2" applyFont="1" applyFill="1" applyBorder="1" applyAlignment="1">
      <alignment horizontal="center" vertical="center" wrapText="1"/>
    </xf>
    <xf numFmtId="0" fontId="78" fillId="32" borderId="111" xfId="2" applyFont="1" applyFill="1" applyBorder="1" applyAlignment="1">
      <alignment vertical="center" wrapText="1"/>
    </xf>
    <xf numFmtId="0" fontId="78" fillId="32" borderId="111" xfId="2" applyFont="1" applyFill="1" applyBorder="1" applyAlignment="1">
      <alignment horizontal="center" vertical="center" wrapText="1"/>
    </xf>
    <xf numFmtId="0" fontId="78" fillId="22" borderId="109" xfId="2" applyFont="1" applyFill="1" applyBorder="1" applyAlignment="1">
      <alignment vertical="center" wrapText="1"/>
    </xf>
    <xf numFmtId="0" fontId="78" fillId="22" borderId="109" xfId="2" applyFont="1" applyFill="1" applyBorder="1" applyAlignment="1">
      <alignment horizontal="center" vertical="center" wrapText="1"/>
    </xf>
    <xf numFmtId="168" fontId="77" fillId="12" borderId="116" xfId="0" applyNumberFormat="1" applyFont="1" applyFill="1" applyBorder="1" applyAlignment="1">
      <alignment horizontal="center"/>
    </xf>
    <xf numFmtId="168" fontId="77" fillId="12" borderId="117" xfId="0" applyNumberFormat="1" applyFont="1" applyFill="1" applyBorder="1" applyAlignment="1">
      <alignment horizontal="center"/>
    </xf>
    <xf numFmtId="168" fontId="77" fillId="12" borderId="109" xfId="0" applyNumberFormat="1" applyFont="1" applyFill="1" applyBorder="1" applyAlignment="1">
      <alignment horizontal="center"/>
    </xf>
    <xf numFmtId="168" fontId="77" fillId="12" borderId="110" xfId="0" applyNumberFormat="1" applyFont="1" applyFill="1" applyBorder="1" applyAlignment="1">
      <alignment horizontal="center"/>
    </xf>
    <xf numFmtId="168" fontId="77" fillId="12" borderId="119" xfId="0" applyNumberFormat="1" applyFont="1" applyFill="1" applyBorder="1" applyAlignment="1">
      <alignment horizontal="center"/>
    </xf>
    <xf numFmtId="0" fontId="82" fillId="12" borderId="0" xfId="0" applyFont="1" applyFill="1" applyAlignment="1">
      <alignment horizontal="right"/>
    </xf>
    <xf numFmtId="0" fontId="37" fillId="12" borderId="0" xfId="0" applyFont="1" applyFill="1"/>
    <xf numFmtId="0" fontId="83" fillId="12" borderId="0" xfId="0" applyFont="1" applyFill="1"/>
    <xf numFmtId="168" fontId="85" fillId="12" borderId="118" xfId="0" applyNumberFormat="1" applyFont="1" applyFill="1" applyBorder="1" applyAlignment="1">
      <alignment horizontal="center"/>
    </xf>
    <xf numFmtId="0" fontId="86" fillId="44" borderId="109" xfId="0" applyFont="1" applyFill="1" applyBorder="1"/>
    <xf numFmtId="168" fontId="87" fillId="12" borderId="109" xfId="0" applyNumberFormat="1" applyFont="1" applyFill="1" applyBorder="1" applyAlignment="1">
      <alignment horizontal="center"/>
    </xf>
    <xf numFmtId="0" fontId="88" fillId="45" borderId="112" xfId="0" applyFont="1" applyFill="1" applyBorder="1"/>
    <xf numFmtId="168" fontId="79" fillId="12" borderId="119" xfId="0" applyNumberFormat="1" applyFont="1" applyFill="1" applyBorder="1" applyAlignment="1">
      <alignment horizontal="center"/>
    </xf>
    <xf numFmtId="0" fontId="37" fillId="0" borderId="0" xfId="2" applyFont="1" applyAlignment="1" applyProtection="1">
      <alignment horizontal="center" wrapText="1"/>
      <protection locked="0"/>
    </xf>
    <xf numFmtId="0" fontId="50" fillId="12" borderId="0" xfId="0" applyFont="1" applyFill="1"/>
    <xf numFmtId="0" fontId="96" fillId="20" borderId="30" xfId="0" applyFont="1" applyFill="1" applyBorder="1" applyAlignment="1">
      <alignment horizontal="center"/>
    </xf>
    <xf numFmtId="0" fontId="99" fillId="20" borderId="34" xfId="0" applyFont="1" applyFill="1" applyBorder="1" applyAlignment="1">
      <alignment horizontal="center"/>
    </xf>
    <xf numFmtId="0" fontId="99" fillId="5" borderId="34" xfId="0" applyFont="1" applyFill="1" applyBorder="1" applyAlignment="1">
      <alignment horizontal="center"/>
    </xf>
    <xf numFmtId="0" fontId="97" fillId="20" borderId="34" xfId="0" applyFont="1" applyFill="1" applyBorder="1" applyAlignment="1">
      <alignment horizontal="center"/>
    </xf>
    <xf numFmtId="0" fontId="97" fillId="5" borderId="34" xfId="0" applyFont="1" applyFill="1" applyBorder="1" applyAlignment="1">
      <alignment horizontal="center"/>
    </xf>
    <xf numFmtId="0" fontId="96" fillId="20" borderId="34" xfId="0" applyFont="1" applyFill="1" applyBorder="1" applyAlignment="1">
      <alignment horizontal="center"/>
    </xf>
    <xf numFmtId="0" fontId="99" fillId="5" borderId="35" xfId="0" applyFont="1" applyFill="1" applyBorder="1" applyAlignment="1">
      <alignment horizontal="center"/>
    </xf>
    <xf numFmtId="0" fontId="50" fillId="0" borderId="7" xfId="2" applyFont="1" applyBorder="1" applyAlignment="1" applyProtection="1">
      <alignment horizontal="center" wrapText="1"/>
      <protection locked="0"/>
    </xf>
    <xf numFmtId="0" fontId="5" fillId="6" borderId="2" xfId="0" applyFont="1" applyFill="1" applyBorder="1"/>
    <xf numFmtId="0" fontId="0" fillId="5" borderId="3" xfId="0" applyFill="1" applyBorder="1"/>
    <xf numFmtId="0" fontId="0" fillId="5" borderId="4" xfId="0" applyFill="1" applyBorder="1"/>
    <xf numFmtId="0" fontId="111" fillId="12" borderId="120" xfId="0" applyFont="1" applyFill="1" applyBorder="1" applyAlignment="1" applyProtection="1">
      <alignment horizontal="center"/>
      <protection locked="0"/>
    </xf>
    <xf numFmtId="2" fontId="64" fillId="12" borderId="137" xfId="0" applyNumberFormat="1" applyFont="1" applyFill="1" applyBorder="1" applyAlignment="1" applyProtection="1">
      <alignment horizontal="center"/>
      <protection locked="0"/>
    </xf>
    <xf numFmtId="2" fontId="64" fillId="12" borderId="141" xfId="0" applyNumberFormat="1" applyFont="1" applyFill="1" applyBorder="1" applyAlignment="1" applyProtection="1">
      <alignment horizontal="center"/>
      <protection locked="0"/>
    </xf>
    <xf numFmtId="165" fontId="64" fillId="12" borderId="141" xfId="0" applyNumberFormat="1" applyFont="1" applyFill="1" applyBorder="1" applyAlignment="1" applyProtection="1">
      <alignment horizontal="center"/>
      <protection locked="0"/>
    </xf>
    <xf numFmtId="0" fontId="0" fillId="6" borderId="0" xfId="0" applyFill="1" applyAlignment="1">
      <alignment horizontal="right"/>
    </xf>
    <xf numFmtId="0" fontId="115" fillId="2" borderId="0" xfId="0" applyFont="1" applyFill="1"/>
    <xf numFmtId="0" fontId="49" fillId="5" borderId="0" xfId="0" applyFont="1" applyFill="1"/>
    <xf numFmtId="2" fontId="0" fillId="5" borderId="0" xfId="0" applyNumberFormat="1" applyFill="1" applyAlignment="1">
      <alignment horizontal="center"/>
    </xf>
    <xf numFmtId="2" fontId="116" fillId="5" borderId="0" xfId="0" applyNumberFormat="1" applyFont="1" applyFill="1" applyAlignment="1">
      <alignment horizontal="center"/>
    </xf>
    <xf numFmtId="2" fontId="116" fillId="19" borderId="3" xfId="0" quotePrefix="1" applyNumberFormat="1" applyFont="1" applyFill="1" applyBorder="1" applyAlignment="1">
      <alignment horizontal="center"/>
    </xf>
    <xf numFmtId="2" fontId="0" fillId="19" borderId="12" xfId="0" applyNumberFormat="1" applyFill="1" applyBorder="1" applyAlignment="1">
      <alignment horizontal="center"/>
    </xf>
    <xf numFmtId="0" fontId="0" fillId="19" borderId="12" xfId="0" applyFill="1" applyBorder="1" applyAlignment="1">
      <alignment horizontal="center"/>
    </xf>
    <xf numFmtId="2" fontId="0" fillId="19" borderId="14" xfId="0" applyNumberFormat="1" applyFill="1" applyBorder="1" applyAlignment="1">
      <alignment horizontal="center"/>
    </xf>
    <xf numFmtId="2" fontId="116" fillId="19" borderId="4" xfId="0" quotePrefix="1" applyNumberFormat="1" applyFont="1" applyFill="1" applyBorder="1" applyAlignment="1">
      <alignment horizontal="center"/>
    </xf>
    <xf numFmtId="2" fontId="116" fillId="19" borderId="5" xfId="0" quotePrefix="1" applyNumberFormat="1" applyFont="1" applyFill="1" applyBorder="1" applyAlignment="1">
      <alignment horizontal="center"/>
    </xf>
    <xf numFmtId="0" fontId="11" fillId="5" borderId="1" xfId="0" applyFont="1" applyFill="1" applyBorder="1" applyAlignment="1">
      <alignment horizontal="center"/>
    </xf>
    <xf numFmtId="0" fontId="11" fillId="5" borderId="6" xfId="0" applyFont="1" applyFill="1" applyBorder="1" applyAlignment="1">
      <alignment horizontal="center"/>
    </xf>
    <xf numFmtId="0" fontId="59" fillId="5" borderId="34" xfId="0" applyFont="1" applyFill="1" applyBorder="1" applyAlignment="1">
      <alignment horizontal="center"/>
    </xf>
    <xf numFmtId="0" fontId="59" fillId="5" borderId="3" xfId="0" applyFont="1" applyFill="1" applyBorder="1" applyAlignment="1">
      <alignment horizontal="center"/>
    </xf>
    <xf numFmtId="0" fontId="59" fillId="5" borderId="5" xfId="0" applyFont="1" applyFill="1" applyBorder="1" applyAlignment="1">
      <alignment horizontal="center"/>
    </xf>
    <xf numFmtId="0" fontId="42" fillId="0" borderId="2" xfId="0" applyFont="1" applyBorder="1" applyAlignment="1" applyProtection="1">
      <alignment horizontal="center"/>
      <protection locked="0"/>
    </xf>
    <xf numFmtId="168" fontId="85" fillId="12" borderId="111" xfId="0" applyNumberFormat="1" applyFont="1" applyFill="1" applyBorder="1" applyAlignment="1">
      <alignment horizontal="center"/>
    </xf>
    <xf numFmtId="0" fontId="81" fillId="26" borderId="1" xfId="2" applyFont="1" applyFill="1" applyBorder="1" applyAlignment="1">
      <alignment vertical="center" wrapText="1"/>
    </xf>
    <xf numFmtId="0" fontId="81" fillId="26" borderId="1" xfId="2" applyFont="1" applyFill="1" applyBorder="1" applyAlignment="1">
      <alignment horizontal="center" vertical="center" wrapText="1"/>
    </xf>
    <xf numFmtId="168" fontId="85" fillId="12" borderId="119" xfId="0" applyNumberFormat="1" applyFont="1" applyFill="1" applyBorder="1" applyAlignment="1">
      <alignment horizontal="center"/>
    </xf>
    <xf numFmtId="168" fontId="77" fillId="12" borderId="0" xfId="0" applyNumberFormat="1" applyFont="1" applyFill="1" applyAlignment="1">
      <alignment horizontal="center"/>
    </xf>
    <xf numFmtId="0" fontId="78" fillId="31" borderId="119" xfId="2" applyFont="1" applyFill="1" applyBorder="1" applyAlignment="1">
      <alignment vertical="center" wrapText="1"/>
    </xf>
    <xf numFmtId="0" fontId="78" fillId="31" borderId="119" xfId="2" applyFont="1" applyFill="1" applyBorder="1" applyAlignment="1">
      <alignment horizontal="center" vertical="center" wrapText="1"/>
    </xf>
    <xf numFmtId="168" fontId="77" fillId="12" borderId="111" xfId="0" applyNumberFormat="1" applyFont="1" applyFill="1" applyBorder="1" applyAlignment="1">
      <alignment horizontal="center"/>
    </xf>
    <xf numFmtId="0" fontId="81" fillId="36" borderId="119" xfId="2" applyFont="1" applyFill="1" applyBorder="1" applyAlignment="1">
      <alignment vertical="center" wrapText="1"/>
    </xf>
    <xf numFmtId="0" fontId="81" fillId="36" borderId="119" xfId="2" applyFont="1" applyFill="1" applyBorder="1" applyAlignment="1">
      <alignment horizontal="center" vertical="center" wrapText="1"/>
    </xf>
    <xf numFmtId="0" fontId="81" fillId="41" borderId="119" xfId="2" applyFont="1" applyFill="1" applyBorder="1" applyAlignment="1">
      <alignment vertical="center" wrapText="1"/>
    </xf>
    <xf numFmtId="0" fontId="81" fillId="41" borderId="119" xfId="2" applyFont="1" applyFill="1" applyBorder="1" applyAlignment="1">
      <alignment horizontal="center" vertical="center" wrapText="1"/>
    </xf>
    <xf numFmtId="0" fontId="81" fillId="42" borderId="6" xfId="2" applyFont="1" applyFill="1" applyBorder="1" applyAlignment="1">
      <alignment vertical="center" wrapText="1"/>
    </xf>
    <xf numFmtId="0" fontId="81" fillId="42" borderId="6" xfId="2" applyFont="1" applyFill="1" applyBorder="1" applyAlignment="1">
      <alignment horizontal="center" vertical="center" wrapText="1"/>
    </xf>
    <xf numFmtId="168" fontId="77" fillId="12" borderId="6" xfId="0" applyNumberFormat="1" applyFont="1" applyFill="1" applyBorder="1" applyAlignment="1">
      <alignment horizontal="center"/>
    </xf>
    <xf numFmtId="0" fontId="125" fillId="5" borderId="0" xfId="0" applyFont="1" applyFill="1"/>
    <xf numFmtId="0" fontId="0" fillId="5" borderId="15" xfId="0" applyFill="1" applyBorder="1" applyAlignment="1">
      <alignment horizontal="center"/>
    </xf>
    <xf numFmtId="0" fontId="0" fillId="5" borderId="7" xfId="0" applyFill="1" applyBorder="1" applyAlignment="1">
      <alignment horizontal="center"/>
    </xf>
    <xf numFmtId="0" fontId="11" fillId="5" borderId="15" xfId="0" applyFont="1" applyFill="1" applyBorder="1" applyAlignment="1">
      <alignment horizontal="center"/>
    </xf>
    <xf numFmtId="11" fontId="0" fillId="46" borderId="8" xfId="0" applyNumberFormat="1" applyFill="1" applyBorder="1" applyAlignment="1">
      <alignment horizontal="center"/>
    </xf>
    <xf numFmtId="11" fontId="0" fillId="46" borderId="11" xfId="0" applyNumberFormat="1" applyFill="1" applyBorder="1" applyAlignment="1">
      <alignment horizontal="center"/>
    </xf>
    <xf numFmtId="11" fontId="0" fillId="46" borderId="0" xfId="0" applyNumberFormat="1" applyFill="1" applyAlignment="1">
      <alignment horizontal="center"/>
    </xf>
    <xf numFmtId="11" fontId="0" fillId="46" borderId="12" xfId="0" applyNumberFormat="1" applyFill="1" applyBorder="1" applyAlignment="1">
      <alignment horizontal="center"/>
    </xf>
    <xf numFmtId="11" fontId="0" fillId="46" borderId="9" xfId="0" applyNumberFormat="1" applyFill="1" applyBorder="1" applyAlignment="1">
      <alignment horizontal="center"/>
    </xf>
    <xf numFmtId="11" fontId="0" fillId="47" borderId="11" xfId="0" applyNumberFormat="1" applyFill="1" applyBorder="1" applyAlignment="1">
      <alignment horizontal="center"/>
    </xf>
    <xf numFmtId="11" fontId="0" fillId="47" borderId="0" xfId="0" applyNumberFormat="1" applyFill="1" applyAlignment="1">
      <alignment horizontal="center"/>
    </xf>
    <xf numFmtId="11" fontId="0" fillId="47" borderId="12" xfId="0" applyNumberFormat="1" applyFill="1" applyBorder="1" applyAlignment="1">
      <alignment horizontal="center"/>
    </xf>
    <xf numFmtId="11" fontId="0" fillId="47" borderId="13" xfId="0" applyNumberFormat="1" applyFill="1" applyBorder="1" applyAlignment="1">
      <alignment horizontal="center"/>
    </xf>
    <xf numFmtId="11" fontId="0" fillId="47" borderId="1" xfId="0" applyNumberFormat="1" applyFill="1" applyBorder="1" applyAlignment="1">
      <alignment horizontal="center"/>
    </xf>
    <xf numFmtId="11" fontId="0" fillId="47" borderId="14" xfId="0" applyNumberFormat="1" applyFill="1" applyBorder="1" applyAlignment="1">
      <alignment horizontal="center"/>
    </xf>
    <xf numFmtId="11" fontId="0" fillId="48" borderId="11" xfId="0" applyNumberFormat="1" applyFill="1" applyBorder="1" applyAlignment="1">
      <alignment horizontal="center"/>
    </xf>
    <xf numFmtId="11" fontId="0" fillId="48" borderId="0" xfId="0" applyNumberFormat="1" applyFill="1" applyAlignment="1">
      <alignment horizontal="center"/>
    </xf>
    <xf numFmtId="11" fontId="0" fillId="48" borderId="12" xfId="0" applyNumberFormat="1" applyFill="1" applyBorder="1" applyAlignment="1">
      <alignment horizontal="center"/>
    </xf>
    <xf numFmtId="11" fontId="0" fillId="48" borderId="8" xfId="0" applyNumberFormat="1" applyFill="1" applyBorder="1" applyAlignment="1">
      <alignment horizontal="center"/>
    </xf>
    <xf numFmtId="11" fontId="0" fillId="48" borderId="9" xfId="0" applyNumberFormat="1" applyFill="1" applyBorder="1" applyAlignment="1">
      <alignment horizontal="center"/>
    </xf>
    <xf numFmtId="11" fontId="0" fillId="48" borderId="10" xfId="0" applyNumberFormat="1" applyFill="1" applyBorder="1" applyAlignment="1">
      <alignment horizontal="center"/>
    </xf>
    <xf numFmtId="11" fontId="0" fillId="49" borderId="11" xfId="0" applyNumberFormat="1" applyFill="1" applyBorder="1" applyAlignment="1">
      <alignment horizontal="center"/>
    </xf>
    <xf numFmtId="11" fontId="0" fillId="49" borderId="0" xfId="0" applyNumberFormat="1" applyFill="1" applyAlignment="1">
      <alignment horizontal="center"/>
    </xf>
    <xf numFmtId="11" fontId="0" fillId="49" borderId="12" xfId="0" applyNumberFormat="1" applyFill="1" applyBorder="1" applyAlignment="1">
      <alignment horizontal="center"/>
    </xf>
    <xf numFmtId="11" fontId="0" fillId="50" borderId="11" xfId="0" applyNumberFormat="1" applyFill="1" applyBorder="1" applyAlignment="1">
      <alignment horizontal="center"/>
    </xf>
    <xf numFmtId="11" fontId="0" fillId="50" borderId="0" xfId="0" applyNumberFormat="1" applyFill="1" applyAlignment="1">
      <alignment horizontal="center"/>
    </xf>
    <xf numFmtId="11" fontId="0" fillId="50" borderId="12" xfId="0" applyNumberFormat="1" applyFill="1" applyBorder="1" applyAlignment="1">
      <alignment horizontal="center"/>
    </xf>
    <xf numFmtId="11" fontId="0" fillId="50" borderId="13" xfId="0" applyNumberFormat="1" applyFill="1" applyBorder="1" applyAlignment="1">
      <alignment horizontal="center"/>
    </xf>
    <xf numFmtId="11" fontId="0" fillId="50" borderId="1" xfId="0" applyNumberFormat="1" applyFill="1" applyBorder="1" applyAlignment="1">
      <alignment horizontal="center"/>
    </xf>
    <xf numFmtId="11" fontId="0" fillId="50" borderId="14" xfId="0" applyNumberFormat="1" applyFill="1" applyBorder="1" applyAlignment="1">
      <alignment horizontal="center"/>
    </xf>
    <xf numFmtId="0" fontId="15" fillId="5" borderId="0" xfId="0" applyFont="1" applyFill="1" applyAlignment="1">
      <alignment horizontal="right"/>
    </xf>
    <xf numFmtId="0" fontId="2" fillId="5" borderId="0" xfId="0" applyFont="1" applyFill="1" applyAlignment="1">
      <alignment horizontal="center"/>
    </xf>
    <xf numFmtId="0" fontId="15" fillId="5" borderId="0" xfId="0" applyFont="1" applyFill="1"/>
    <xf numFmtId="0" fontId="50" fillId="5" borderId="0" xfId="0" applyFont="1" applyFill="1" applyAlignment="1">
      <alignment horizontal="center"/>
    </xf>
    <xf numFmtId="0" fontId="17" fillId="5" borderId="0" xfId="0" applyFont="1" applyFill="1" applyAlignment="1">
      <alignment horizontal="center" wrapText="1"/>
    </xf>
    <xf numFmtId="11" fontId="0" fillId="5" borderId="0" xfId="0" applyNumberFormat="1" applyFill="1" applyAlignment="1">
      <alignment horizontal="center"/>
    </xf>
    <xf numFmtId="0" fontId="12" fillId="5" borderId="0" xfId="0" applyFont="1" applyFill="1" applyAlignment="1">
      <alignment vertical="center"/>
    </xf>
    <xf numFmtId="0" fontId="26" fillId="5" borderId="0" xfId="0" applyFont="1" applyFill="1" applyAlignment="1">
      <alignment vertical="center"/>
    </xf>
    <xf numFmtId="0" fontId="63" fillId="9" borderId="0" xfId="0" applyFont="1" applyFill="1" applyAlignment="1">
      <alignment horizontal="center" vertical="center"/>
    </xf>
    <xf numFmtId="0" fontId="0" fillId="8" borderId="0" xfId="0" applyFill="1"/>
    <xf numFmtId="0" fontId="26" fillId="4" borderId="115" xfId="0" applyFont="1" applyFill="1" applyBorder="1" applyAlignment="1">
      <alignment horizontal="center" vertical="center"/>
    </xf>
    <xf numFmtId="0" fontId="26" fillId="5" borderId="1" xfId="0" applyFont="1" applyFill="1" applyBorder="1" applyAlignment="1">
      <alignment vertical="center"/>
    </xf>
    <xf numFmtId="0" fontId="63" fillId="9" borderId="1" xfId="0" applyFont="1" applyFill="1" applyBorder="1" applyAlignment="1">
      <alignment horizontal="center" vertical="center"/>
    </xf>
    <xf numFmtId="0" fontId="26" fillId="4" borderId="113" xfId="0" applyFont="1" applyFill="1" applyBorder="1" applyAlignment="1">
      <alignment horizontal="center" vertical="center"/>
    </xf>
    <xf numFmtId="0" fontId="2" fillId="9" borderId="0" xfId="0" applyFont="1" applyFill="1" applyAlignment="1">
      <alignment horizontal="center"/>
    </xf>
    <xf numFmtId="0" fontId="2" fillId="4" borderId="114" xfId="0" applyFont="1" applyFill="1" applyBorder="1" applyAlignment="1">
      <alignment horizontal="center"/>
    </xf>
    <xf numFmtId="0" fontId="62" fillId="9" borderId="1" xfId="2" applyFont="1" applyFill="1" applyBorder="1" applyAlignment="1">
      <alignment horizontal="center" wrapText="1"/>
    </xf>
    <xf numFmtId="0" fontId="50" fillId="5" borderId="1" xfId="2" applyFont="1" applyFill="1" applyBorder="1" applyAlignment="1">
      <alignment wrapText="1"/>
    </xf>
    <xf numFmtId="0" fontId="50" fillId="8" borderId="0" xfId="2" applyFont="1" applyFill="1" applyAlignment="1">
      <alignment wrapText="1"/>
    </xf>
    <xf numFmtId="0" fontId="62" fillId="4" borderId="113" xfId="2" applyFont="1" applyFill="1" applyBorder="1" applyAlignment="1">
      <alignment horizontal="center" wrapText="1"/>
    </xf>
    <xf numFmtId="0" fontId="35" fillId="5" borderId="1" xfId="0" applyFont="1" applyFill="1" applyBorder="1" applyAlignment="1">
      <alignment horizontal="center"/>
    </xf>
    <xf numFmtId="0" fontId="27" fillId="5" borderId="0" xfId="0" applyFont="1" applyFill="1" applyAlignment="1">
      <alignment horizontal="center"/>
    </xf>
    <xf numFmtId="0" fontId="37" fillId="5" borderId="0" xfId="2" applyFont="1" applyFill="1" applyAlignment="1">
      <alignment horizontal="center" wrapText="1"/>
    </xf>
    <xf numFmtId="0" fontId="37" fillId="5" borderId="0" xfId="2" applyFont="1" applyFill="1" applyAlignment="1">
      <alignment wrapText="1"/>
    </xf>
    <xf numFmtId="0" fontId="37" fillId="8" borderId="0" xfId="2" applyFont="1" applyFill="1" applyAlignment="1">
      <alignment wrapText="1"/>
    </xf>
    <xf numFmtId="0" fontId="37" fillId="5" borderId="0" xfId="0" applyFont="1" applyFill="1" applyAlignment="1">
      <alignment horizontal="center"/>
    </xf>
    <xf numFmtId="0" fontId="27" fillId="5" borderId="1" xfId="0" applyFont="1" applyFill="1" applyBorder="1" applyAlignment="1">
      <alignment horizontal="center"/>
    </xf>
    <xf numFmtId="0" fontId="50" fillId="8" borderId="1" xfId="2" applyFont="1" applyFill="1" applyBorder="1" applyAlignment="1">
      <alignment wrapText="1"/>
    </xf>
    <xf numFmtId="0" fontId="89" fillId="5" borderId="0" xfId="0" applyFont="1" applyFill="1" applyAlignment="1">
      <alignment horizontal="right"/>
    </xf>
    <xf numFmtId="0" fontId="62" fillId="5" borderId="15" xfId="2" applyFont="1" applyFill="1" applyBorder="1" applyAlignment="1">
      <alignment horizontal="center" wrapText="1"/>
    </xf>
    <xf numFmtId="0" fontId="121" fillId="5" borderId="0" xfId="2" applyFont="1" applyFill="1" applyAlignment="1">
      <alignment horizontal="center" wrapText="1"/>
    </xf>
    <xf numFmtId="0" fontId="121" fillId="5" borderId="0" xfId="2" applyFont="1" applyFill="1" applyAlignment="1">
      <alignment horizontal="left" wrapText="1"/>
    </xf>
    <xf numFmtId="0" fontId="68" fillId="5" borderId="0" xfId="0" applyFont="1" applyFill="1"/>
    <xf numFmtId="168" fontId="0" fillId="5" borderId="0" xfId="0" applyNumberFormat="1" applyFill="1" applyAlignment="1">
      <alignment horizontal="center"/>
    </xf>
    <xf numFmtId="0" fontId="50" fillId="5" borderId="0" xfId="2" applyFont="1" applyFill="1" applyAlignment="1">
      <alignment horizontal="left"/>
    </xf>
    <xf numFmtId="0" fontId="108" fillId="5" borderId="0" xfId="2" applyFont="1" applyFill="1" applyAlignment="1">
      <alignment horizontal="right"/>
    </xf>
    <xf numFmtId="0" fontId="121" fillId="5" borderId="0" xfId="2" applyFont="1" applyFill="1" applyAlignment="1">
      <alignment wrapText="1"/>
    </xf>
    <xf numFmtId="0" fontId="121" fillId="5" borderId="0" xfId="2" applyFont="1" applyFill="1" applyAlignment="1">
      <alignment horizontal="left" vertical="top" wrapText="1"/>
    </xf>
    <xf numFmtId="0" fontId="122" fillId="5" borderId="0" xfId="2" applyFont="1" applyFill="1"/>
    <xf numFmtId="0" fontId="116" fillId="5" borderId="0" xfId="0" applyFont="1" applyFill="1"/>
    <xf numFmtId="0" fontId="118" fillId="5" borderId="0" xfId="0" applyFont="1" applyFill="1" applyAlignment="1">
      <alignment horizontal="left"/>
    </xf>
    <xf numFmtId="0" fontId="68" fillId="6" borderId="92" xfId="0" applyFont="1" applyFill="1" applyBorder="1"/>
    <xf numFmtId="0" fontId="61" fillId="5" borderId="0" xfId="0" applyFont="1" applyFill="1"/>
    <xf numFmtId="0" fontId="68" fillId="6" borderId="93" xfId="0" applyFont="1" applyFill="1" applyBorder="1"/>
    <xf numFmtId="0" fontId="68" fillId="6" borderId="74" xfId="0" applyFont="1" applyFill="1" applyBorder="1" applyAlignment="1">
      <alignment horizontal="center"/>
    </xf>
    <xf numFmtId="0" fontId="68" fillId="6" borderId="97" xfId="0" applyFont="1" applyFill="1" applyBorder="1" applyAlignment="1">
      <alignment horizontal="center"/>
    </xf>
    <xf numFmtId="0" fontId="68" fillId="6" borderId="95" xfId="0" applyFont="1" applyFill="1" applyBorder="1"/>
    <xf numFmtId="0" fontId="68" fillId="6" borderId="96" xfId="0" applyFont="1" applyFill="1" applyBorder="1" applyAlignment="1">
      <alignment horizontal="center"/>
    </xf>
    <xf numFmtId="0" fontId="68" fillId="6" borderId="94" xfId="0" applyFont="1" applyFill="1" applyBorder="1"/>
    <xf numFmtId="0" fontId="39" fillId="5" borderId="0" xfId="0" applyFont="1" applyFill="1" applyAlignment="1">
      <alignment horizontal="right"/>
    </xf>
    <xf numFmtId="0" fontId="12" fillId="5" borderId="0" xfId="0" applyFont="1" applyFill="1" applyAlignment="1">
      <alignment vertical="top"/>
    </xf>
    <xf numFmtId="0" fontId="32" fillId="5" borderId="3" xfId="0" applyFont="1" applyFill="1" applyBorder="1" applyAlignment="1">
      <alignment horizontal="center"/>
    </xf>
    <xf numFmtId="0" fontId="84" fillId="5" borderId="0" xfId="0" applyFont="1" applyFill="1" applyAlignment="1">
      <alignment horizontal="right" vertical="center"/>
    </xf>
    <xf numFmtId="0" fontId="14" fillId="5" borderId="135" xfId="0" applyFont="1" applyFill="1" applyBorder="1" applyAlignment="1">
      <alignment horizontal="center"/>
    </xf>
    <xf numFmtId="0" fontId="14" fillId="5" borderId="139" xfId="0" applyFont="1" applyFill="1" applyBorder="1" applyAlignment="1">
      <alignment horizontal="center"/>
    </xf>
    <xf numFmtId="0" fontId="102" fillId="5" borderId="139" xfId="0" applyFont="1" applyFill="1" applyBorder="1" applyAlignment="1">
      <alignment horizontal="center"/>
    </xf>
    <xf numFmtId="0" fontId="14" fillId="5" borderId="1" xfId="0" applyFont="1" applyFill="1" applyBorder="1" applyAlignment="1">
      <alignment horizontal="center"/>
    </xf>
    <xf numFmtId="0" fontId="48" fillId="5" borderId="3" xfId="0" applyFont="1" applyFill="1" applyBorder="1" applyAlignment="1">
      <alignment horizontal="center"/>
    </xf>
    <xf numFmtId="0" fontId="22" fillId="5" borderId="0" xfId="0" applyFont="1" applyFill="1"/>
    <xf numFmtId="0" fontId="32" fillId="5" borderId="4" xfId="0" applyFont="1" applyFill="1" applyBorder="1" applyAlignment="1">
      <alignment horizontal="center"/>
    </xf>
    <xf numFmtId="0" fontId="14" fillId="5" borderId="97" xfId="0" applyFont="1" applyFill="1" applyBorder="1" applyAlignment="1">
      <alignment horizontal="center"/>
    </xf>
    <xf numFmtId="0" fontId="14" fillId="5" borderId="0" xfId="0" applyFont="1" applyFill="1" applyAlignment="1">
      <alignment horizontal="center"/>
    </xf>
    <xf numFmtId="0" fontId="14" fillId="5" borderId="4" xfId="0" applyFont="1" applyFill="1" applyBorder="1" applyAlignment="1">
      <alignment horizontal="center"/>
    </xf>
    <xf numFmtId="2" fontId="29" fillId="16" borderId="136" xfId="0" applyNumberFormat="1" applyFont="1" applyFill="1" applyBorder="1" applyAlignment="1">
      <alignment horizontal="center"/>
    </xf>
    <xf numFmtId="2" fontId="29" fillId="16" borderId="140" xfId="0" applyNumberFormat="1" applyFont="1" applyFill="1" applyBorder="1" applyAlignment="1">
      <alignment horizontal="center"/>
    </xf>
    <xf numFmtId="165" fontId="29" fillId="17" borderId="140" xfId="0" applyNumberFormat="1" applyFont="1" applyFill="1" applyBorder="1" applyAlignment="1">
      <alignment horizontal="center"/>
    </xf>
    <xf numFmtId="2" fontId="29" fillId="5" borderId="140" xfId="0" applyNumberFormat="1" applyFont="1" applyFill="1" applyBorder="1" applyAlignment="1">
      <alignment horizontal="center"/>
    </xf>
    <xf numFmtId="2" fontId="29" fillId="5" borderId="142" xfId="0" applyNumberFormat="1" applyFont="1" applyFill="1" applyBorder="1" applyAlignment="1">
      <alignment horizontal="center"/>
    </xf>
    <xf numFmtId="2" fontId="14" fillId="5" borderId="4" xfId="0" applyNumberFormat="1" applyFont="1" applyFill="1" applyBorder="1" applyAlignment="1">
      <alignment horizontal="center"/>
    </xf>
    <xf numFmtId="0" fontId="108" fillId="5" borderId="0" xfId="0" applyFont="1" applyFill="1"/>
    <xf numFmtId="166" fontId="29" fillId="5" borderId="141" xfId="0" applyNumberFormat="1" applyFont="1" applyFill="1" applyBorder="1" applyAlignment="1">
      <alignment horizontal="left"/>
    </xf>
    <xf numFmtId="2" fontId="29" fillId="5" borderId="141" xfId="0" applyNumberFormat="1" applyFont="1" applyFill="1" applyBorder="1" applyAlignment="1">
      <alignment horizontal="left"/>
    </xf>
    <xf numFmtId="2" fontId="29" fillId="5" borderId="143" xfId="0" applyNumberFormat="1" applyFont="1" applyFill="1" applyBorder="1" applyAlignment="1">
      <alignment horizontal="left"/>
    </xf>
    <xf numFmtId="0" fontId="108" fillId="5" borderId="0" xfId="0" applyFont="1" applyFill="1" applyAlignment="1">
      <alignment vertical="top"/>
    </xf>
    <xf numFmtId="2" fontId="29" fillId="5" borderId="134" xfId="0" applyNumberFormat="1" applyFont="1" applyFill="1" applyBorder="1" applyAlignment="1">
      <alignment horizontal="center"/>
    </xf>
    <xf numFmtId="2" fontId="29" fillId="5" borderId="138" xfId="0" applyNumberFormat="1" applyFont="1" applyFill="1" applyBorder="1" applyAlignment="1">
      <alignment horizontal="center"/>
    </xf>
    <xf numFmtId="165" fontId="29" fillId="5" borderId="138" xfId="0" applyNumberFormat="1" applyFont="1" applyFill="1" applyBorder="1" applyAlignment="1">
      <alignment horizontal="center"/>
    </xf>
    <xf numFmtId="2" fontId="29" fillId="6" borderId="138" xfId="0" applyNumberFormat="1" applyFont="1" applyFill="1" applyBorder="1" applyAlignment="1">
      <alignment horizontal="center"/>
    </xf>
    <xf numFmtId="2" fontId="29" fillId="6" borderId="6" xfId="0" applyNumberFormat="1" applyFont="1" applyFill="1" applyBorder="1" applyAlignment="1">
      <alignment horizontal="center"/>
    </xf>
    <xf numFmtId="2" fontId="48" fillId="5" borderId="4" xfId="0" applyNumberFormat="1" applyFont="1" applyFill="1" applyBorder="1" applyAlignment="1">
      <alignment horizontal="center"/>
    </xf>
    <xf numFmtId="0" fontId="70" fillId="5" borderId="0" xfId="0" applyFont="1" applyFill="1"/>
    <xf numFmtId="2" fontId="14" fillId="5" borderId="5" xfId="0" applyNumberFormat="1" applyFont="1" applyFill="1" applyBorder="1" applyAlignment="1">
      <alignment horizontal="center"/>
    </xf>
    <xf numFmtId="0" fontId="108" fillId="5" borderId="0" xfId="0" applyFont="1" applyFill="1" applyAlignment="1">
      <alignment horizontal="left"/>
    </xf>
    <xf numFmtId="0" fontId="105" fillId="5" borderId="0" xfId="0" applyFont="1" applyFill="1" applyAlignment="1">
      <alignment horizontal="left"/>
    </xf>
    <xf numFmtId="2" fontId="14" fillId="5" borderId="0" xfId="0" applyNumberFormat="1" applyFont="1" applyFill="1" applyAlignment="1">
      <alignment horizontal="center"/>
    </xf>
    <xf numFmtId="0" fontId="107" fillId="5" borderId="0" xfId="0" applyFont="1" applyFill="1"/>
    <xf numFmtId="0" fontId="70" fillId="5" borderId="0" xfId="0" applyFont="1" applyFill="1" applyAlignment="1">
      <alignment vertical="top"/>
    </xf>
    <xf numFmtId="0" fontId="120" fillId="5" borderId="0" xfId="0" applyFont="1" applyFill="1" applyAlignment="1">
      <alignment horizontal="center"/>
    </xf>
    <xf numFmtId="2" fontId="11" fillId="5" borderId="0" xfId="0" applyNumberFormat="1" applyFont="1" applyFill="1" applyAlignment="1">
      <alignment horizontal="left"/>
    </xf>
    <xf numFmtId="164" fontId="29" fillId="5" borderId="0" xfId="0" applyNumberFormat="1" applyFont="1" applyFill="1" applyAlignment="1">
      <alignment horizontal="center"/>
    </xf>
    <xf numFmtId="0" fontId="11" fillId="5" borderId="0" xfId="0" applyFont="1" applyFill="1" applyAlignment="1">
      <alignment horizontal="left"/>
    </xf>
    <xf numFmtId="0" fontId="14" fillId="5" borderId="15" xfId="0" applyFont="1" applyFill="1" applyBorder="1"/>
    <xf numFmtId="0" fontId="14" fillId="5" borderId="6" xfId="0" applyFont="1" applyFill="1" applyBorder="1"/>
    <xf numFmtId="0" fontId="76" fillId="5" borderId="144" xfId="0" applyFont="1" applyFill="1" applyBorder="1" applyAlignment="1">
      <alignment horizontal="center"/>
    </xf>
    <xf numFmtId="2" fontId="14" fillId="5" borderId="127" xfId="0" applyNumberFormat="1" applyFont="1" applyFill="1" applyBorder="1" applyAlignment="1">
      <alignment horizontal="center"/>
    </xf>
    <xf numFmtId="0" fontId="14" fillId="5" borderId="128" xfId="0" applyFont="1" applyFill="1" applyBorder="1" applyAlignment="1">
      <alignment horizontal="left"/>
    </xf>
    <xf numFmtId="0" fontId="14" fillId="5" borderId="124" xfId="0" applyFont="1" applyFill="1" applyBorder="1"/>
    <xf numFmtId="0" fontId="14" fillId="5" borderId="125" xfId="0" applyFont="1" applyFill="1" applyBorder="1"/>
    <xf numFmtId="0" fontId="101" fillId="5" borderId="145" xfId="0" applyFont="1" applyFill="1" applyBorder="1" applyAlignment="1">
      <alignment horizontal="center"/>
    </xf>
    <xf numFmtId="2" fontId="14" fillId="6" borderId="129" xfId="0" applyNumberFormat="1" applyFont="1" applyFill="1" applyBorder="1" applyAlignment="1">
      <alignment horizontal="center"/>
    </xf>
    <xf numFmtId="0" fontId="14" fillId="5" borderId="81" xfId="0" applyFont="1" applyFill="1" applyBorder="1" applyAlignment="1">
      <alignment horizontal="left"/>
    </xf>
    <xf numFmtId="0" fontId="29" fillId="5" borderId="0" xfId="0" applyFont="1" applyFill="1"/>
    <xf numFmtId="0" fontId="14" fillId="5" borderId="126" xfId="0" applyFont="1" applyFill="1" applyBorder="1"/>
    <xf numFmtId="0" fontId="14" fillId="5" borderId="77" xfId="0" applyFont="1" applyFill="1" applyBorder="1"/>
    <xf numFmtId="0" fontId="101" fillId="5" borderId="146" xfId="0" applyFont="1" applyFill="1" applyBorder="1" applyAlignment="1">
      <alignment horizontal="center"/>
    </xf>
    <xf numFmtId="2" fontId="14" fillId="6" borderId="130" xfId="0" applyNumberFormat="1" applyFont="1" applyFill="1" applyBorder="1" applyAlignment="1">
      <alignment horizontal="center"/>
    </xf>
    <xf numFmtId="0" fontId="14" fillId="5" borderId="132" xfId="0" applyFont="1" applyFill="1" applyBorder="1" applyAlignment="1">
      <alignment horizontal="left"/>
    </xf>
    <xf numFmtId="0" fontId="5" fillId="21" borderId="0" xfId="0" applyFont="1" applyFill="1"/>
    <xf numFmtId="0" fontId="76" fillId="5" borderId="146" xfId="0" applyFont="1" applyFill="1" applyBorder="1" applyAlignment="1">
      <alignment horizontal="center"/>
    </xf>
    <xf numFmtId="0" fontId="40" fillId="21" borderId="0" xfId="0" applyFont="1" applyFill="1"/>
    <xf numFmtId="2" fontId="14" fillId="5" borderId="130" xfId="0" applyNumberFormat="1" applyFont="1" applyFill="1" applyBorder="1" applyAlignment="1">
      <alignment horizontal="center"/>
    </xf>
    <xf numFmtId="0" fontId="16" fillId="21" borderId="0" xfId="0" applyFont="1" applyFill="1"/>
    <xf numFmtId="1" fontId="36" fillId="5" borderId="130" xfId="0" applyNumberFormat="1" applyFont="1" applyFill="1" applyBorder="1" applyAlignment="1">
      <alignment horizontal="center"/>
    </xf>
    <xf numFmtId="0" fontId="9" fillId="5" borderId="0" xfId="0" quotePrefix="1" applyFont="1" applyFill="1"/>
    <xf numFmtId="0" fontId="104" fillId="5" borderId="0" xfId="0" applyFont="1" applyFill="1" applyAlignment="1">
      <alignment vertical="center"/>
    </xf>
    <xf numFmtId="0" fontId="14" fillId="5" borderId="13" xfId="0" applyFont="1" applyFill="1" applyBorder="1"/>
    <xf numFmtId="0" fontId="14" fillId="5" borderId="1" xfId="0" applyFont="1" applyFill="1" applyBorder="1"/>
    <xf numFmtId="0" fontId="76" fillId="5" borderId="87" xfId="0" applyFont="1" applyFill="1" applyBorder="1" applyAlignment="1">
      <alignment horizontal="center"/>
    </xf>
    <xf numFmtId="2" fontId="14" fillId="5" borderId="131" xfId="0" applyNumberFormat="1" applyFont="1" applyFill="1" applyBorder="1" applyAlignment="1">
      <alignment horizontal="center"/>
    </xf>
    <xf numFmtId="0" fontId="14" fillId="5" borderId="133" xfId="0" applyFont="1" applyFill="1" applyBorder="1" applyAlignment="1">
      <alignment horizontal="left"/>
    </xf>
    <xf numFmtId="0" fontId="69" fillId="5" borderId="0" xfId="0" applyFont="1" applyFill="1"/>
    <xf numFmtId="0" fontId="4" fillId="5" borderId="0" xfId="0" applyFont="1" applyFill="1"/>
    <xf numFmtId="0" fontId="73" fillId="5" borderId="0" xfId="0" applyFont="1" applyFill="1"/>
    <xf numFmtId="0" fontId="106" fillId="5" borderId="0" xfId="0" applyFont="1" applyFill="1"/>
    <xf numFmtId="0" fontId="109" fillId="5" borderId="0" xfId="0" applyFont="1" applyFill="1" applyAlignment="1">
      <alignment horizontal="right"/>
    </xf>
    <xf numFmtId="0" fontId="73" fillId="5" borderId="0" xfId="0" applyFont="1" applyFill="1" applyAlignment="1">
      <alignment vertical="top"/>
    </xf>
    <xf numFmtId="0" fontId="110" fillId="5" borderId="0" xfId="0" applyFont="1" applyFill="1"/>
    <xf numFmtId="0" fontId="109" fillId="5" borderId="0" xfId="0" applyFont="1" applyFill="1" applyAlignment="1">
      <alignment horizontal="right" vertical="top"/>
    </xf>
    <xf numFmtId="0" fontId="67" fillId="6" borderId="107" xfId="0" applyFont="1" applyFill="1" applyBorder="1"/>
    <xf numFmtId="0" fontId="67" fillId="6" borderId="103" xfId="0" applyFont="1" applyFill="1" applyBorder="1"/>
    <xf numFmtId="0" fontId="3" fillId="5" borderId="0" xfId="0" applyFont="1" applyFill="1" applyAlignment="1">
      <alignment horizontal="center"/>
    </xf>
    <xf numFmtId="0" fontId="67" fillId="6" borderId="105" xfId="0" applyFont="1" applyFill="1" applyBorder="1"/>
    <xf numFmtId="166" fontId="3" fillId="21" borderId="0" xfId="0" applyNumberFormat="1" applyFont="1" applyFill="1" applyAlignment="1">
      <alignment horizontal="right"/>
    </xf>
    <xf numFmtId="0" fontId="92" fillId="5" borderId="163" xfId="0" applyFont="1" applyFill="1" applyBorder="1" applyAlignment="1">
      <alignment horizontal="center"/>
    </xf>
    <xf numFmtId="0" fontId="95" fillId="5" borderId="164" xfId="0" applyFont="1" applyFill="1" applyBorder="1" applyAlignment="1">
      <alignment horizontal="center"/>
    </xf>
    <xf numFmtId="0" fontId="93" fillId="5" borderId="164" xfId="0" applyFont="1" applyFill="1" applyBorder="1" applyAlignment="1">
      <alignment horizontal="center"/>
    </xf>
    <xf numFmtId="0" fontId="92" fillId="5" borderId="164" xfId="0" applyFont="1" applyFill="1" applyBorder="1" applyAlignment="1">
      <alignment horizontal="center"/>
    </xf>
    <xf numFmtId="0" fontId="95" fillId="5" borderId="165" xfId="0" applyFont="1" applyFill="1" applyBorder="1" applyAlignment="1">
      <alignment horizontal="center"/>
    </xf>
    <xf numFmtId="0" fontId="14" fillId="5" borderId="58" xfId="0" applyFont="1" applyFill="1" applyBorder="1" applyAlignment="1">
      <alignment horizontal="center"/>
    </xf>
    <xf numFmtId="0" fontId="14" fillId="5" borderId="59" xfId="0" applyFont="1" applyFill="1" applyBorder="1" applyAlignment="1">
      <alignment horizontal="center"/>
    </xf>
    <xf numFmtId="0" fontId="14" fillId="5" borderId="60" xfId="0" applyFont="1" applyFill="1" applyBorder="1" applyAlignment="1">
      <alignment horizontal="center"/>
    </xf>
    <xf numFmtId="0" fontId="14" fillId="5" borderId="61" xfId="0" applyFont="1" applyFill="1" applyBorder="1" applyAlignment="1">
      <alignment horizontal="center"/>
    </xf>
    <xf numFmtId="0" fontId="3" fillId="3" borderId="6" xfId="0" applyFont="1" applyFill="1" applyBorder="1"/>
    <xf numFmtId="2" fontId="16" fillId="5" borderId="55" xfId="0" applyNumberFormat="1" applyFont="1" applyFill="1" applyBorder="1" applyAlignment="1">
      <alignment horizontal="center"/>
    </xf>
    <xf numFmtId="2" fontId="16" fillId="5" borderId="29" xfId="0" applyNumberFormat="1" applyFont="1" applyFill="1" applyBorder="1" applyAlignment="1">
      <alignment horizontal="center"/>
    </xf>
    <xf numFmtId="2" fontId="16" fillId="5" borderId="56" xfId="0" applyNumberFormat="1" applyFont="1" applyFill="1" applyBorder="1" applyAlignment="1">
      <alignment horizontal="center"/>
    </xf>
    <xf numFmtId="2" fontId="16" fillId="5" borderId="57" xfId="0" applyNumberFormat="1" applyFont="1" applyFill="1" applyBorder="1" applyAlignment="1">
      <alignment horizontal="center"/>
    </xf>
    <xf numFmtId="2" fontId="3" fillId="5" borderId="0" xfId="0" applyNumberFormat="1" applyFont="1" applyFill="1"/>
    <xf numFmtId="0" fontId="3" fillId="4" borderId="6" xfId="0" applyFont="1" applyFill="1" applyBorder="1"/>
    <xf numFmtId="0" fontId="16" fillId="5" borderId="53" xfId="0" applyFont="1" applyFill="1" applyBorder="1" applyAlignment="1">
      <alignment horizontal="center"/>
    </xf>
    <xf numFmtId="0" fontId="16" fillId="5" borderId="37" xfId="0" applyFont="1" applyFill="1" applyBorder="1" applyAlignment="1">
      <alignment horizontal="center"/>
    </xf>
    <xf numFmtId="0" fontId="16" fillId="5" borderId="38" xfId="0" applyFont="1" applyFill="1" applyBorder="1" applyAlignment="1">
      <alignment horizontal="center"/>
    </xf>
    <xf numFmtId="0" fontId="16" fillId="5" borderId="54" xfId="0" applyFont="1" applyFill="1" applyBorder="1" applyAlignment="1">
      <alignment horizontal="center"/>
    </xf>
    <xf numFmtId="0" fontId="10" fillId="5" borderId="0" xfId="0" applyFont="1" applyFill="1"/>
    <xf numFmtId="2" fontId="64" fillId="5" borderId="0" xfId="0" applyNumberFormat="1" applyFont="1" applyFill="1"/>
    <xf numFmtId="0" fontId="113" fillId="5" borderId="0" xfId="0" applyFont="1" applyFill="1"/>
    <xf numFmtId="2" fontId="51" fillId="5" borderId="0" xfId="0" applyNumberFormat="1" applyFont="1" applyFill="1"/>
    <xf numFmtId="0" fontId="28" fillId="5" borderId="0" xfId="0" applyFont="1" applyFill="1" applyAlignment="1">
      <alignment horizontal="center"/>
    </xf>
    <xf numFmtId="0" fontId="52" fillId="5" borderId="0" xfId="0" applyFont="1" applyFill="1" applyAlignment="1">
      <alignment horizontal="center" vertical="center"/>
    </xf>
    <xf numFmtId="0" fontId="32" fillId="5" borderId="30" xfId="0" applyFont="1" applyFill="1" applyBorder="1" applyAlignment="1">
      <alignment horizontal="center"/>
    </xf>
    <xf numFmtId="0" fontId="29" fillId="5" borderId="31" xfId="0" applyFont="1" applyFill="1" applyBorder="1"/>
    <xf numFmtId="11" fontId="16" fillId="16" borderId="52" xfId="0" applyNumberFormat="1" applyFont="1" applyFill="1" applyBorder="1"/>
    <xf numFmtId="11" fontId="16" fillId="16" borderId="32" xfId="0" applyNumberFormat="1" applyFont="1" applyFill="1" applyBorder="1"/>
    <xf numFmtId="11" fontId="16" fillId="16" borderId="33" xfId="0" applyNumberFormat="1" applyFont="1" applyFill="1" applyBorder="1"/>
    <xf numFmtId="164" fontId="31" fillId="5" borderId="0" xfId="0" applyNumberFormat="1" applyFont="1" applyFill="1"/>
    <xf numFmtId="0" fontId="53" fillId="5" borderId="0" xfId="0" applyFont="1" applyFill="1" applyAlignment="1">
      <alignment horizontal="right"/>
    </xf>
    <xf numFmtId="11" fontId="54" fillId="6" borderId="71" xfId="0" applyNumberFormat="1" applyFont="1" applyFill="1" applyBorder="1" applyAlignment="1">
      <alignment horizontal="right"/>
    </xf>
    <xf numFmtId="11" fontId="54" fillId="6" borderId="69" xfId="0" applyNumberFormat="1" applyFont="1" applyFill="1" applyBorder="1" applyAlignment="1">
      <alignment horizontal="right"/>
    </xf>
    <xf numFmtId="11" fontId="54" fillId="6" borderId="70" xfId="0" applyNumberFormat="1" applyFont="1" applyFill="1" applyBorder="1" applyAlignment="1">
      <alignment horizontal="right"/>
    </xf>
    <xf numFmtId="167" fontId="31" fillId="5" borderId="0" xfId="0" applyNumberFormat="1" applyFont="1" applyFill="1"/>
    <xf numFmtId="11" fontId="16" fillId="6" borderId="71" xfId="0" applyNumberFormat="1" applyFont="1" applyFill="1" applyBorder="1"/>
    <xf numFmtId="11" fontId="16" fillId="6" borderId="69" xfId="0" applyNumberFormat="1" applyFont="1" applyFill="1" applyBorder="1"/>
    <xf numFmtId="11" fontId="16" fillId="6" borderId="70" xfId="0" applyNumberFormat="1" applyFont="1" applyFill="1" applyBorder="1"/>
    <xf numFmtId="0" fontId="32" fillId="5" borderId="15" xfId="0" applyFont="1" applyFill="1" applyBorder="1"/>
    <xf numFmtId="0" fontId="32" fillId="5" borderId="1" xfId="0" applyFont="1" applyFill="1" applyBorder="1"/>
    <xf numFmtId="0" fontId="32" fillId="5" borderId="1" xfId="0" applyFont="1" applyFill="1" applyBorder="1" applyAlignment="1">
      <alignment horizontal="right"/>
    </xf>
    <xf numFmtId="0" fontId="32" fillId="5" borderId="0" xfId="0" applyFont="1" applyFill="1"/>
    <xf numFmtId="0" fontId="32" fillId="5" borderId="0" xfId="0" applyFont="1" applyFill="1" applyAlignment="1">
      <alignment horizontal="right"/>
    </xf>
    <xf numFmtId="11" fontId="16" fillId="5" borderId="0" xfId="0" applyNumberFormat="1" applyFont="1" applyFill="1"/>
    <xf numFmtId="0" fontId="29" fillId="5" borderId="49" xfId="0" applyFont="1" applyFill="1" applyBorder="1" applyAlignment="1">
      <alignment horizontal="center"/>
    </xf>
    <xf numFmtId="0" fontId="29" fillId="5" borderId="50" xfId="0" applyFont="1" applyFill="1" applyBorder="1" applyAlignment="1">
      <alignment horizontal="center"/>
    </xf>
    <xf numFmtId="0" fontId="112" fillId="5" borderId="50" xfId="0" applyFont="1" applyFill="1" applyBorder="1" applyAlignment="1">
      <alignment horizontal="center"/>
    </xf>
    <xf numFmtId="0" fontId="29" fillId="5" borderId="155" xfId="0" applyFont="1" applyFill="1" applyBorder="1" applyAlignment="1">
      <alignment horizontal="center"/>
    </xf>
    <xf numFmtId="0" fontId="103" fillId="5" borderId="49" xfId="0" applyFont="1" applyFill="1" applyBorder="1" applyAlignment="1">
      <alignment horizontal="center"/>
    </xf>
    <xf numFmtId="0" fontId="32" fillId="5" borderId="51" xfId="0" applyFont="1" applyFill="1" applyBorder="1" applyAlignment="1">
      <alignment horizontal="center"/>
    </xf>
    <xf numFmtId="0" fontId="32" fillId="9" borderId="8" xfId="0" applyFont="1" applyFill="1" applyBorder="1" applyAlignment="1">
      <alignment horizontal="center"/>
    </xf>
    <xf numFmtId="0" fontId="29" fillId="9" borderId="10" xfId="0" applyFont="1" applyFill="1" applyBorder="1"/>
    <xf numFmtId="166" fontId="16" fillId="3" borderId="62" xfId="0" applyNumberFormat="1" applyFont="1" applyFill="1" applyBorder="1"/>
    <xf numFmtId="166" fontId="16" fillId="3" borderId="147" xfId="0" applyNumberFormat="1" applyFont="1" applyFill="1" applyBorder="1"/>
    <xf numFmtId="166" fontId="16" fillId="3" borderId="156" xfId="0" applyNumberFormat="1" applyFont="1" applyFill="1" applyBorder="1"/>
    <xf numFmtId="166" fontId="16" fillId="3" borderId="157" xfId="0" applyNumberFormat="1" applyFont="1" applyFill="1" applyBorder="1"/>
    <xf numFmtId="0" fontId="32" fillId="13" borderId="17" xfId="0" applyFont="1" applyFill="1" applyBorder="1" applyAlignment="1">
      <alignment horizontal="center"/>
    </xf>
    <xf numFmtId="0" fontId="29" fillId="13" borderId="27" xfId="0" applyFont="1" applyFill="1" applyBorder="1"/>
    <xf numFmtId="0" fontId="32" fillId="14" borderId="22" xfId="0" applyFont="1" applyFill="1" applyBorder="1" applyAlignment="1">
      <alignment horizontal="center"/>
    </xf>
    <xf numFmtId="0" fontId="29" fillId="14" borderId="28" xfId="0" applyFont="1" applyFill="1" applyBorder="1"/>
    <xf numFmtId="166" fontId="16" fillId="7" borderId="18" xfId="0" applyNumberFormat="1" applyFont="1" applyFill="1" applyBorder="1"/>
    <xf numFmtId="166" fontId="16" fillId="7" borderId="16" xfId="0" applyNumberFormat="1" applyFont="1" applyFill="1" applyBorder="1"/>
    <xf numFmtId="166" fontId="16" fillId="7" borderId="148" xfId="0" applyNumberFormat="1" applyFont="1" applyFill="1" applyBorder="1"/>
    <xf numFmtId="166" fontId="16" fillId="7" borderId="151" xfId="0" applyNumberFormat="1" applyFont="1" applyFill="1" applyBorder="1"/>
    <xf numFmtId="166" fontId="16" fillId="7" borderId="152" xfId="0" applyNumberFormat="1" applyFont="1" applyFill="1" applyBorder="1"/>
    <xf numFmtId="0" fontId="32" fillId="15" borderId="13" xfId="0" applyFont="1" applyFill="1" applyBorder="1" applyAlignment="1">
      <alignment horizontal="center"/>
    </xf>
    <xf numFmtId="0" fontId="29" fillId="15" borderId="14" xfId="0" applyFont="1" applyFill="1" applyBorder="1"/>
    <xf numFmtId="168" fontId="16" fillId="10" borderId="26" xfId="0" applyNumberFormat="1" applyFont="1" applyFill="1" applyBorder="1"/>
    <xf numFmtId="168" fontId="16" fillId="10" borderId="23" xfId="0" applyNumberFormat="1" applyFont="1" applyFill="1" applyBorder="1"/>
    <xf numFmtId="168" fontId="16" fillId="10" borderId="149" xfId="0" applyNumberFormat="1" applyFont="1" applyFill="1" applyBorder="1"/>
    <xf numFmtId="168" fontId="16" fillId="10" borderId="158" xfId="0" applyNumberFormat="1" applyFont="1" applyFill="1" applyBorder="1"/>
    <xf numFmtId="168" fontId="16" fillId="10" borderId="153" xfId="0" applyNumberFormat="1" applyFont="1" applyFill="1" applyBorder="1"/>
    <xf numFmtId="0" fontId="16" fillId="5" borderId="0" xfId="0" applyFont="1" applyFill="1"/>
    <xf numFmtId="164" fontId="31" fillId="5" borderId="0" xfId="0" applyNumberFormat="1" applyFont="1" applyFill="1" applyAlignment="1">
      <alignment horizontal="center"/>
    </xf>
    <xf numFmtId="166" fontId="16" fillId="3" borderId="25" xfId="0" applyNumberFormat="1" applyFont="1" applyFill="1" applyBorder="1"/>
    <xf numFmtId="166" fontId="16" fillId="3" borderId="154" xfId="0" applyNumberFormat="1" applyFont="1" applyFill="1" applyBorder="1"/>
    <xf numFmtId="166" fontId="16" fillId="3" borderId="159" xfId="0" applyNumberFormat="1" applyFont="1" applyFill="1" applyBorder="1"/>
    <xf numFmtId="166" fontId="16" fillId="3" borderId="150" xfId="0" applyNumberFormat="1" applyFont="1" applyFill="1" applyBorder="1"/>
    <xf numFmtId="166" fontId="16" fillId="4" borderId="18" xfId="0" applyNumberFormat="1" applyFont="1" applyFill="1" applyBorder="1"/>
    <xf numFmtId="166" fontId="16" fillId="4" borderId="16" xfId="0" applyNumberFormat="1" applyFont="1" applyFill="1" applyBorder="1"/>
    <xf numFmtId="166" fontId="16" fillId="4" borderId="148" xfId="0" applyNumberFormat="1" applyFont="1" applyFill="1" applyBorder="1"/>
    <xf numFmtId="166" fontId="16" fillId="4" borderId="151" xfId="0" applyNumberFormat="1" applyFont="1" applyFill="1" applyBorder="1"/>
    <xf numFmtId="166" fontId="16" fillId="4" borderId="152" xfId="0" applyNumberFormat="1" applyFont="1" applyFill="1" applyBorder="1"/>
    <xf numFmtId="166" fontId="16" fillId="10" borderId="26" xfId="0" applyNumberFormat="1" applyFont="1" applyFill="1" applyBorder="1"/>
    <xf numFmtId="166" fontId="16" fillId="10" borderId="23" xfId="0" applyNumberFormat="1" applyFont="1" applyFill="1" applyBorder="1"/>
    <xf numFmtId="166" fontId="16" fillId="10" borderId="149" xfId="0" applyNumberFormat="1" applyFont="1" applyFill="1" applyBorder="1"/>
    <xf numFmtId="166" fontId="16" fillId="10" borderId="158" xfId="0" applyNumberFormat="1" applyFont="1" applyFill="1" applyBorder="1"/>
    <xf numFmtId="166" fontId="16" fillId="10" borderId="153" xfId="0" applyNumberFormat="1" applyFont="1" applyFill="1" applyBorder="1"/>
    <xf numFmtId="0" fontId="32" fillId="5" borderId="0" xfId="0" applyFont="1" applyFill="1" applyAlignment="1">
      <alignment horizontal="center"/>
    </xf>
    <xf numFmtId="0" fontId="32" fillId="9" borderId="10" xfId="0" applyFont="1" applyFill="1" applyBorder="1"/>
    <xf numFmtId="9" fontId="40" fillId="3" borderId="25" xfId="0" applyNumberFormat="1" applyFont="1" applyFill="1" applyBorder="1"/>
    <xf numFmtId="9" fontId="40" fillId="3" borderId="19" xfId="0" applyNumberFormat="1" applyFont="1" applyFill="1" applyBorder="1"/>
    <xf numFmtId="9" fontId="40" fillId="3" borderId="20" xfId="0" applyNumberFormat="1" applyFont="1" applyFill="1" applyBorder="1"/>
    <xf numFmtId="0" fontId="74" fillId="5" borderId="0" xfId="0" applyFont="1" applyFill="1" applyAlignment="1">
      <alignment vertical="center"/>
    </xf>
    <xf numFmtId="0" fontId="32" fillId="13" borderId="22" xfId="0" applyFont="1" applyFill="1" applyBorder="1" applyAlignment="1">
      <alignment horizontal="center"/>
    </xf>
    <xf numFmtId="0" fontId="29" fillId="13" borderId="28" xfId="0" applyFont="1" applyFill="1" applyBorder="1"/>
    <xf numFmtId="0" fontId="29" fillId="5" borderId="55" xfId="0" applyFont="1" applyFill="1" applyBorder="1" applyAlignment="1">
      <alignment horizontal="center"/>
    </xf>
    <xf numFmtId="0" fontId="29" fillId="5" borderId="29" xfId="0" applyFont="1" applyFill="1" applyBorder="1" applyAlignment="1">
      <alignment horizontal="center"/>
    </xf>
    <xf numFmtId="0" fontId="112" fillId="5" borderId="29" xfId="0" applyFont="1" applyFill="1" applyBorder="1" applyAlignment="1">
      <alignment horizontal="center"/>
    </xf>
    <xf numFmtId="0" fontId="29" fillId="5" borderId="56" xfId="0" applyFont="1" applyFill="1" applyBorder="1" applyAlignment="1">
      <alignment horizontal="center"/>
    </xf>
    <xf numFmtId="0" fontId="103" fillId="5" borderId="57" xfId="0" applyFont="1" applyFill="1" applyBorder="1" applyAlignment="1">
      <alignment horizontal="center"/>
    </xf>
    <xf numFmtId="0" fontId="32" fillId="5" borderId="56" xfId="0" applyFont="1" applyFill="1" applyBorder="1" applyAlignment="1">
      <alignment horizontal="center"/>
    </xf>
    <xf numFmtId="165" fontId="0" fillId="0" borderId="89" xfId="0" applyNumberFormat="1" applyBorder="1" applyProtection="1">
      <protection locked="0"/>
    </xf>
    <xf numFmtId="169" fontId="3" fillId="5" borderId="0" xfId="0" applyNumberFormat="1" applyFont="1" applyFill="1"/>
    <xf numFmtId="0" fontId="133" fillId="5" borderId="0" xfId="0" applyFont="1" applyFill="1"/>
    <xf numFmtId="0" fontId="134" fillId="5" borderId="0" xfId="0" applyFont="1" applyFill="1" applyAlignment="1">
      <alignment horizontal="right"/>
    </xf>
    <xf numFmtId="0" fontId="135" fillId="5" borderId="1" xfId="0" applyFont="1" applyFill="1" applyBorder="1" applyAlignment="1">
      <alignment horizontal="center"/>
    </xf>
    <xf numFmtId="11" fontId="16" fillId="5" borderId="167" xfId="0" applyNumberFormat="1" applyFont="1" applyFill="1" applyBorder="1"/>
    <xf numFmtId="11" fontId="16" fillId="5" borderId="168" xfId="0" applyNumberFormat="1" applyFont="1" applyFill="1" applyBorder="1"/>
    <xf numFmtId="171" fontId="40" fillId="6" borderId="169" xfId="0" applyNumberFormat="1" applyFont="1" applyFill="1" applyBorder="1" applyAlignment="1">
      <alignment horizontal="center"/>
    </xf>
    <xf numFmtId="11" fontId="16" fillId="5" borderId="170" xfId="0" applyNumberFormat="1" applyFont="1" applyFill="1" applyBorder="1"/>
    <xf numFmtId="11" fontId="16" fillId="5" borderId="171" xfId="0" applyNumberFormat="1" applyFont="1" applyFill="1" applyBorder="1"/>
    <xf numFmtId="171" fontId="40" fillId="6" borderId="172" xfId="0" applyNumberFormat="1" applyFont="1" applyFill="1" applyBorder="1" applyAlignment="1">
      <alignment horizontal="center"/>
    </xf>
    <xf numFmtId="11" fontId="16" fillId="5" borderId="173" xfId="0" applyNumberFormat="1" applyFont="1" applyFill="1" applyBorder="1"/>
    <xf numFmtId="11" fontId="16" fillId="5" borderId="174" xfId="0" applyNumberFormat="1" applyFont="1" applyFill="1" applyBorder="1"/>
    <xf numFmtId="171" fontId="40" fillId="6" borderId="175" xfId="0" applyNumberFormat="1" applyFont="1" applyFill="1" applyBorder="1" applyAlignment="1">
      <alignment horizontal="center"/>
    </xf>
    <xf numFmtId="11" fontId="16" fillId="5" borderId="176" xfId="0" applyNumberFormat="1" applyFont="1" applyFill="1" applyBorder="1"/>
    <xf numFmtId="0" fontId="0" fillId="5" borderId="5" xfId="0" applyFill="1" applyBorder="1"/>
    <xf numFmtId="0" fontId="0" fillId="5" borderId="8" xfId="0" applyFill="1" applyBorder="1" applyAlignment="1">
      <alignment horizontal="center"/>
    </xf>
    <xf numFmtId="0" fontId="0" fillId="5" borderId="10" xfId="0" applyFill="1" applyBorder="1" applyAlignment="1">
      <alignment horizontal="center"/>
    </xf>
    <xf numFmtId="0" fontId="59" fillId="11" borderId="12" xfId="0" applyFont="1" applyFill="1" applyBorder="1"/>
    <xf numFmtId="0" fontId="59" fillId="5" borderId="4" xfId="0" applyFont="1" applyFill="1" applyBorder="1" applyAlignment="1">
      <alignment horizontal="center"/>
    </xf>
    <xf numFmtId="0" fontId="2" fillId="5" borderId="1" xfId="0" applyFont="1" applyFill="1" applyBorder="1"/>
    <xf numFmtId="0" fontId="142" fillId="5" borderId="0" xfId="2" applyFont="1" applyFill="1"/>
    <xf numFmtId="0" fontId="0" fillId="52" borderId="2" xfId="0" applyFill="1" applyBorder="1"/>
    <xf numFmtId="0" fontId="0" fillId="5" borderId="2" xfId="0" applyFill="1" applyBorder="1" applyAlignment="1">
      <alignment horizontal="center"/>
    </xf>
    <xf numFmtId="0" fontId="0" fillId="51" borderId="2" xfId="0" applyFill="1" applyBorder="1" applyAlignment="1">
      <alignment horizontal="center"/>
    </xf>
    <xf numFmtId="0" fontId="143" fillId="12" borderId="0" xfId="0" applyFont="1" applyFill="1" applyAlignment="1">
      <alignment vertical="top" wrapText="1"/>
    </xf>
    <xf numFmtId="0" fontId="50" fillId="5" borderId="0" xfId="0" applyFont="1" applyFill="1"/>
    <xf numFmtId="0" fontId="2" fillId="4" borderId="0" xfId="0" applyFont="1" applyFill="1" applyAlignment="1">
      <alignment horizontal="center"/>
    </xf>
    <xf numFmtId="0" fontId="50" fillId="5" borderId="1" xfId="2" applyFont="1" applyFill="1" applyBorder="1" applyAlignment="1">
      <alignment horizontal="left" wrapText="1"/>
    </xf>
    <xf numFmtId="0" fontId="62" fillId="9" borderId="36" xfId="2" applyFont="1" applyFill="1" applyBorder="1" applyAlignment="1">
      <alignment horizontal="center" wrapText="1"/>
    </xf>
    <xf numFmtId="0" fontId="62" fillId="4" borderId="36" xfId="2" applyFont="1" applyFill="1" applyBorder="1" applyAlignment="1">
      <alignment horizontal="center" wrapText="1"/>
    </xf>
    <xf numFmtId="168" fontId="0" fillId="6" borderId="123" xfId="0" applyNumberFormat="1" applyFill="1" applyBorder="1" applyAlignment="1">
      <alignment horizontal="center"/>
    </xf>
    <xf numFmtId="168" fontId="0" fillId="6" borderId="75" xfId="0" applyNumberFormat="1" applyFill="1" applyBorder="1" applyAlignment="1">
      <alignment horizontal="center"/>
    </xf>
    <xf numFmtId="168" fontId="37" fillId="6" borderId="75" xfId="0" applyNumberFormat="1" applyFont="1" applyFill="1" applyBorder="1" applyAlignment="1">
      <alignment horizontal="center"/>
    </xf>
    <xf numFmtId="172" fontId="0" fillId="6" borderId="75" xfId="0" applyNumberFormat="1" applyFill="1" applyBorder="1" applyAlignment="1">
      <alignment horizontal="center"/>
    </xf>
    <xf numFmtId="168" fontId="0" fillId="6" borderId="122" xfId="0" applyNumberFormat="1" applyFill="1" applyBorder="1" applyAlignment="1">
      <alignment horizontal="center"/>
    </xf>
    <xf numFmtId="14" fontId="0" fillId="21" borderId="0" xfId="0" applyNumberFormat="1" applyFill="1"/>
    <xf numFmtId="0" fontId="0" fillId="21" borderId="0" xfId="0" applyFill="1" applyAlignment="1">
      <alignment horizontal="left"/>
    </xf>
    <xf numFmtId="0" fontId="0" fillId="21" borderId="0" xfId="0" quotePrefix="1" applyFill="1"/>
    <xf numFmtId="0" fontId="15" fillId="21" borderId="0" xfId="0" applyFont="1" applyFill="1" applyAlignment="1">
      <alignment horizontal="center"/>
    </xf>
    <xf numFmtId="0" fontId="2" fillId="21" borderId="0" xfId="0" applyFont="1" applyFill="1"/>
    <xf numFmtId="0" fontId="0" fillId="5" borderId="177" xfId="0" applyFill="1" applyBorder="1"/>
    <xf numFmtId="14" fontId="0" fillId="5" borderId="177" xfId="0" applyNumberFormat="1" applyFill="1" applyBorder="1"/>
    <xf numFmtId="0" fontId="0" fillId="5" borderId="177" xfId="0" applyFill="1" applyBorder="1" applyAlignment="1">
      <alignment horizontal="center"/>
    </xf>
    <xf numFmtId="0" fontId="50" fillId="5" borderId="177" xfId="0" applyFont="1" applyFill="1" applyBorder="1"/>
    <xf numFmtId="0" fontId="0" fillId="5" borderId="177" xfId="0" quotePrefix="1" applyFill="1" applyBorder="1"/>
    <xf numFmtId="0" fontId="0" fillId="5" borderId="164" xfId="0" applyFill="1" applyBorder="1"/>
    <xf numFmtId="14" fontId="0" fillId="5" borderId="164" xfId="0" applyNumberFormat="1" applyFill="1" applyBorder="1"/>
    <xf numFmtId="0" fontId="0" fillId="5" borderId="164" xfId="0" applyFill="1" applyBorder="1" applyAlignment="1">
      <alignment horizontal="center"/>
    </xf>
    <xf numFmtId="0" fontId="2" fillId="5" borderId="178" xfId="0" applyFont="1" applyFill="1" applyBorder="1" applyAlignment="1">
      <alignment horizontal="left"/>
    </xf>
    <xf numFmtId="0" fontId="2" fillId="5" borderId="178" xfId="0" applyFont="1" applyFill="1" applyBorder="1" applyAlignment="1">
      <alignment horizontal="center"/>
    </xf>
    <xf numFmtId="0" fontId="2" fillId="5" borderId="178" xfId="0" applyFont="1" applyFill="1" applyBorder="1" applyAlignment="1">
      <alignment horizontal="center" wrapText="1"/>
    </xf>
    <xf numFmtId="0" fontId="2" fillId="5" borderId="178" xfId="0" applyFont="1" applyFill="1" applyBorder="1" applyAlignment="1">
      <alignment horizontal="left" wrapText="1"/>
    </xf>
    <xf numFmtId="0" fontId="39" fillId="5" borderId="177" xfId="0" applyFont="1" applyFill="1" applyBorder="1" applyAlignment="1">
      <alignment horizontal="right"/>
    </xf>
    <xf numFmtId="0" fontId="0" fillId="12" borderId="0" xfId="0" applyFill="1" applyAlignment="1">
      <alignment horizontal="center"/>
    </xf>
    <xf numFmtId="165" fontId="0" fillId="12" borderId="0" xfId="0" applyNumberFormat="1" applyFill="1"/>
    <xf numFmtId="0" fontId="39" fillId="12" borderId="0" xfId="0" applyFont="1" applyFill="1" applyAlignment="1">
      <alignment horizontal="right"/>
    </xf>
    <xf numFmtId="49" fontId="71" fillId="5" borderId="0" xfId="0" applyNumberFormat="1" applyFont="1" applyFill="1" applyAlignment="1">
      <alignment horizontal="center" vertical="center"/>
    </xf>
    <xf numFmtId="0" fontId="71" fillId="5" borderId="0" xfId="0" applyFont="1" applyFill="1" applyAlignment="1">
      <alignment horizontal="left" vertical="center"/>
    </xf>
    <xf numFmtId="49" fontId="0" fillId="5" borderId="177" xfId="0" quotePrefix="1" applyNumberFormat="1" applyFill="1" applyBorder="1" applyAlignment="1">
      <alignment horizontal="center" vertical="center"/>
    </xf>
    <xf numFmtId="0" fontId="0" fillId="5" borderId="177" xfId="0" applyFill="1" applyBorder="1" applyAlignment="1">
      <alignment horizontal="left" vertical="center" wrapText="1"/>
    </xf>
    <xf numFmtId="0" fontId="0" fillId="5" borderId="177" xfId="0" applyFill="1" applyBorder="1" applyAlignment="1">
      <alignment horizontal="left" vertical="center"/>
    </xf>
    <xf numFmtId="49" fontId="0" fillId="5" borderId="177" xfId="0" applyNumberFormat="1" applyFill="1" applyBorder="1" applyAlignment="1">
      <alignment horizontal="center" vertical="center"/>
    </xf>
    <xf numFmtId="0" fontId="0" fillId="5" borderId="177" xfId="0" applyFill="1" applyBorder="1" applyAlignment="1">
      <alignment wrapText="1"/>
    </xf>
    <xf numFmtId="0" fontId="117" fillId="5" borderId="177" xfId="0" applyFont="1" applyFill="1" applyBorder="1"/>
    <xf numFmtId="0" fontId="149" fillId="5" borderId="0" xfId="0" applyFont="1" applyFill="1"/>
    <xf numFmtId="0" fontId="144" fillId="5" borderId="0" xfId="0" applyFont="1" applyFill="1"/>
    <xf numFmtId="0" fontId="137" fillId="5" borderId="0" xfId="0" applyFont="1" applyFill="1"/>
    <xf numFmtId="0" fontId="0" fillId="6" borderId="8" xfId="0" applyFill="1" applyBorder="1"/>
    <xf numFmtId="0" fontId="148" fillId="6" borderId="9" xfId="0" applyFont="1" applyFill="1" applyBorder="1" applyAlignment="1">
      <alignment vertical="top"/>
    </xf>
    <xf numFmtId="0" fontId="0" fillId="6" borderId="10" xfId="0" applyFill="1" applyBorder="1"/>
    <xf numFmtId="0" fontId="0" fillId="6" borderId="11" xfId="0" applyFill="1" applyBorder="1"/>
    <xf numFmtId="0" fontId="137" fillId="6" borderId="0" xfId="0" applyFont="1" applyFill="1" applyAlignment="1">
      <alignment vertical="top"/>
    </xf>
    <xf numFmtId="0" fontId="0" fillId="6" borderId="12" xfId="0" applyFill="1" applyBorder="1"/>
    <xf numFmtId="0" fontId="137" fillId="6" borderId="0" xfId="0" applyFont="1" applyFill="1" applyAlignment="1">
      <alignment vertical="top" wrapText="1"/>
    </xf>
    <xf numFmtId="0" fontId="0" fillId="6" borderId="13" xfId="0" applyFill="1" applyBorder="1"/>
    <xf numFmtId="0" fontId="0" fillId="6" borderId="1" xfId="0" applyFill="1" applyBorder="1"/>
    <xf numFmtId="0" fontId="0" fillId="6" borderId="14" xfId="0" applyFill="1" applyBorder="1"/>
    <xf numFmtId="0" fontId="151" fillId="5" borderId="5" xfId="0" applyFont="1" applyFill="1" applyBorder="1"/>
    <xf numFmtId="0" fontId="151" fillId="5" borderId="3" xfId="0" applyFont="1" applyFill="1" applyBorder="1"/>
    <xf numFmtId="0" fontId="151" fillId="5" borderId="4" xfId="0" applyFont="1" applyFill="1" applyBorder="1"/>
    <xf numFmtId="0" fontId="53" fillId="5" borderId="0" xfId="0" applyFont="1" applyFill="1" applyAlignment="1">
      <alignment horizontal="right" vertical="center"/>
    </xf>
    <xf numFmtId="0" fontId="65" fillId="5" borderId="3" xfId="0" applyFont="1" applyFill="1" applyBorder="1"/>
    <xf numFmtId="0" fontId="65" fillId="5" borderId="4" xfId="0" applyFont="1" applyFill="1" applyBorder="1"/>
    <xf numFmtId="0" fontId="65" fillId="5" borderId="5" xfId="0" applyFont="1" applyFill="1" applyBorder="1"/>
    <xf numFmtId="0" fontId="0" fillId="53" borderId="0" xfId="0" applyFill="1" applyAlignment="1">
      <alignment vertical="top"/>
    </xf>
    <xf numFmtId="0" fontId="0" fillId="53" borderId="0" xfId="0" applyFill="1"/>
    <xf numFmtId="0" fontId="127" fillId="53" borderId="0" xfId="0" applyFont="1" applyFill="1" applyAlignment="1">
      <alignment horizontal="left" vertical="top" wrapText="1"/>
    </xf>
    <xf numFmtId="0" fontId="127" fillId="53" borderId="0" xfId="0" applyFont="1" applyFill="1"/>
    <xf numFmtId="0" fontId="0" fillId="53" borderId="77" xfId="0" applyFill="1" applyBorder="1"/>
    <xf numFmtId="0" fontId="72" fillId="53" borderId="77" xfId="0" applyFont="1" applyFill="1" applyBorder="1"/>
    <xf numFmtId="0" fontId="60" fillId="53" borderId="0" xfId="0" applyFont="1" applyFill="1" applyAlignment="1">
      <alignment vertical="top"/>
    </xf>
    <xf numFmtId="0" fontId="39" fillId="53" borderId="0" xfId="0" applyFont="1" applyFill="1" applyAlignment="1">
      <alignment vertical="top"/>
    </xf>
    <xf numFmtId="0" fontId="127" fillId="53" borderId="0" xfId="0" applyFont="1" applyFill="1" applyAlignment="1">
      <alignment vertical="top"/>
    </xf>
    <xf numFmtId="17" fontId="128" fillId="53" borderId="0" xfId="0" quotePrefix="1" applyNumberFormat="1" applyFont="1" applyFill="1" applyAlignment="1">
      <alignment vertical="top"/>
    </xf>
    <xf numFmtId="0" fontId="60" fillId="53" borderId="0" xfId="0" applyFont="1" applyFill="1"/>
    <xf numFmtId="0" fontId="156" fillId="54" borderId="77" xfId="0" applyFont="1" applyFill="1" applyBorder="1" applyAlignment="1">
      <alignment vertical="center"/>
    </xf>
    <xf numFmtId="0" fontId="115" fillId="54" borderId="77" xfId="0" applyFont="1" applyFill="1" applyBorder="1" applyAlignment="1">
      <alignment vertical="center"/>
    </xf>
    <xf numFmtId="0" fontId="158" fillId="55" borderId="166" xfId="0" applyFont="1" applyFill="1" applyBorder="1" applyAlignment="1">
      <alignment vertical="center"/>
    </xf>
    <xf numFmtId="0" fontId="2" fillId="55" borderId="166" xfId="0" applyFont="1" applyFill="1" applyBorder="1" applyAlignment="1">
      <alignment vertical="center"/>
    </xf>
    <xf numFmtId="0" fontId="156" fillId="56" borderId="77" xfId="0" applyFont="1" applyFill="1" applyBorder="1" applyAlignment="1">
      <alignment vertical="center"/>
    </xf>
    <xf numFmtId="0" fontId="115" fillId="56" borderId="77" xfId="0" applyFont="1" applyFill="1" applyBorder="1" applyAlignment="1">
      <alignment vertical="center"/>
    </xf>
    <xf numFmtId="0" fontId="156" fillId="57" borderId="166" xfId="0" applyFont="1" applyFill="1" applyBorder="1" applyAlignment="1">
      <alignment vertical="center"/>
    </xf>
    <xf numFmtId="0" fontId="115" fillId="57" borderId="166" xfId="0" applyFont="1" applyFill="1" applyBorder="1" applyAlignment="1">
      <alignment vertical="center"/>
    </xf>
    <xf numFmtId="0" fontId="163" fillId="53" borderId="0" xfId="0" applyFont="1" applyFill="1" applyAlignment="1">
      <alignment vertical="top"/>
    </xf>
    <xf numFmtId="0" fontId="0" fillId="21" borderId="0" xfId="0" applyFill="1" applyProtection="1"/>
    <xf numFmtId="0" fontId="17" fillId="21" borderId="0" xfId="2" applyFill="1" applyAlignment="1" applyProtection="1">
      <alignment horizontal="center" wrapText="1"/>
    </xf>
    <xf numFmtId="0" fontId="0" fillId="21" borderId="0" xfId="0" applyFill="1" applyAlignment="1" applyProtection="1">
      <alignment horizontal="center"/>
    </xf>
    <xf numFmtId="170" fontId="0" fillId="21" borderId="0" xfId="0" applyNumberFormat="1" applyFill="1" applyAlignment="1" applyProtection="1">
      <alignment horizontal="center"/>
    </xf>
    <xf numFmtId="0" fontId="17" fillId="21" borderId="0" xfId="2" applyFill="1" applyAlignment="1" applyProtection="1">
      <alignment wrapText="1"/>
    </xf>
    <xf numFmtId="165" fontId="161" fillId="21" borderId="0" xfId="2" applyNumberFormat="1" applyFont="1" applyFill="1" applyAlignment="1" applyProtection="1">
      <alignment vertical="top" wrapText="1"/>
    </xf>
    <xf numFmtId="0" fontId="164" fillId="5" borderId="0" xfId="0" applyFont="1" applyFill="1"/>
    <xf numFmtId="0" fontId="14" fillId="5" borderId="0" xfId="0" applyFont="1" applyFill="1"/>
    <xf numFmtId="0" fontId="73" fillId="5" borderId="0" xfId="0" applyFont="1" applyFill="1" applyAlignment="1">
      <alignment vertical="center"/>
    </xf>
    <xf numFmtId="0" fontId="158" fillId="58" borderId="166" xfId="0" applyFont="1" applyFill="1" applyBorder="1" applyAlignment="1">
      <alignment vertical="center"/>
    </xf>
    <xf numFmtId="0" fontId="0" fillId="58" borderId="166" xfId="0" applyFill="1" applyBorder="1" applyAlignment="1">
      <alignment vertical="center"/>
    </xf>
    <xf numFmtId="0" fontId="16" fillId="6" borderId="100" xfId="0" applyFont="1" applyFill="1" applyBorder="1"/>
    <xf numFmtId="0" fontId="165" fillId="5" borderId="100" xfId="0" applyFont="1" applyFill="1" applyBorder="1"/>
    <xf numFmtId="0" fontId="166" fillId="5" borderId="5" xfId="0" applyFont="1" applyFill="1" applyBorder="1"/>
    <xf numFmtId="0" fontId="165" fillId="0" borderId="48" xfId="0" applyFont="1" applyBorder="1" applyAlignment="1" applyProtection="1">
      <alignment horizontal="center"/>
      <protection locked="0"/>
    </xf>
    <xf numFmtId="0" fontId="165" fillId="0" borderId="45" xfId="0" applyFont="1" applyBorder="1" applyAlignment="1" applyProtection="1">
      <alignment horizontal="center"/>
      <protection locked="0"/>
    </xf>
    <xf numFmtId="1" fontId="168" fillId="12" borderId="4" xfId="0" applyNumberFormat="1" applyFont="1" applyFill="1" applyBorder="1" applyAlignment="1" applyProtection="1">
      <alignment horizontal="center"/>
      <protection locked="0"/>
    </xf>
    <xf numFmtId="0" fontId="54" fillId="12" borderId="99" xfId="0" applyFont="1" applyFill="1" applyBorder="1" applyAlignment="1" applyProtection="1">
      <alignment horizontal="center"/>
      <protection locked="0"/>
    </xf>
    <xf numFmtId="0" fontId="54" fillId="12" borderId="46" xfId="0" applyFont="1" applyFill="1" applyBorder="1" applyAlignment="1" applyProtection="1">
      <alignment horizontal="center"/>
      <protection locked="0"/>
    </xf>
    <xf numFmtId="0" fontId="170" fillId="5" borderId="3" xfId="0" applyFont="1" applyFill="1" applyBorder="1" applyAlignment="1">
      <alignment horizontal="center"/>
    </xf>
    <xf numFmtId="0" fontId="40" fillId="5" borderId="47" xfId="0" applyFont="1" applyFill="1" applyBorder="1" applyAlignment="1">
      <alignment horizontal="center"/>
    </xf>
    <xf numFmtId="0" fontId="40" fillId="5" borderId="43" xfId="0" applyFont="1" applyFill="1" applyBorder="1" applyAlignment="1">
      <alignment horizontal="center"/>
    </xf>
    <xf numFmtId="0" fontId="170" fillId="5" borderId="100" xfId="0" applyFont="1" applyFill="1" applyBorder="1" applyAlignment="1">
      <alignment horizontal="center"/>
    </xf>
    <xf numFmtId="0" fontId="16" fillId="5" borderId="98" xfId="0" applyFont="1" applyFill="1" applyBorder="1" applyAlignment="1">
      <alignment horizontal="center"/>
    </xf>
    <xf numFmtId="0" fontId="16" fillId="5" borderId="44" xfId="0" applyFont="1" applyFill="1" applyBorder="1" applyAlignment="1">
      <alignment horizontal="center"/>
    </xf>
    <xf numFmtId="0" fontId="16" fillId="5" borderId="101" xfId="0" applyFont="1" applyFill="1" applyBorder="1" applyAlignment="1">
      <alignment horizontal="center"/>
    </xf>
    <xf numFmtId="1" fontId="16" fillId="5" borderId="47" xfId="0" applyNumberFormat="1" applyFont="1" applyFill="1" applyBorder="1" applyAlignment="1">
      <alignment horizontal="center"/>
    </xf>
    <xf numFmtId="1" fontId="16" fillId="5" borderId="43" xfId="0" applyNumberFormat="1" applyFont="1" applyFill="1" applyBorder="1" applyAlignment="1">
      <alignment horizontal="center"/>
    </xf>
    <xf numFmtId="0" fontId="16" fillId="5" borderId="102" xfId="0" applyFont="1" applyFill="1" applyBorder="1" applyAlignment="1">
      <alignment horizontal="right"/>
    </xf>
    <xf numFmtId="0" fontId="2" fillId="5" borderId="164" xfId="0" applyFont="1" applyFill="1" applyBorder="1"/>
    <xf numFmtId="0" fontId="2" fillId="5" borderId="177" xfId="0" applyFont="1" applyFill="1" applyBorder="1"/>
    <xf numFmtId="0" fontId="173" fillId="21" borderId="0" xfId="0" applyFont="1" applyFill="1"/>
    <xf numFmtId="11" fontId="173" fillId="21" borderId="0" xfId="0" applyNumberFormat="1" applyFont="1" applyFill="1"/>
    <xf numFmtId="0" fontId="40" fillId="21" borderId="0" xfId="0" applyFont="1" applyFill="1" applyAlignment="1">
      <alignment horizontal="right"/>
    </xf>
    <xf numFmtId="0" fontId="14" fillId="5" borderId="49" xfId="0" applyFont="1" applyFill="1" applyBorder="1" applyAlignment="1">
      <alignment horizontal="center"/>
    </xf>
    <xf numFmtId="0" fontId="14" fillId="5" borderId="50" xfId="0" applyFont="1" applyFill="1" applyBorder="1" applyAlignment="1">
      <alignment horizontal="center"/>
    </xf>
    <xf numFmtId="0" fontId="174" fillId="5" borderId="50" xfId="0" applyFont="1" applyFill="1" applyBorder="1" applyAlignment="1">
      <alignment horizontal="center"/>
    </xf>
    <xf numFmtId="0" fontId="14" fillId="5" borderId="155" xfId="0" applyFont="1" applyFill="1" applyBorder="1" applyAlignment="1">
      <alignment horizontal="center"/>
    </xf>
    <xf numFmtId="171" fontId="75" fillId="6" borderId="172" xfId="0" applyNumberFormat="1" applyFont="1" applyFill="1" applyBorder="1" applyAlignment="1">
      <alignment horizontal="center"/>
    </xf>
    <xf numFmtId="171" fontId="75" fillId="6" borderId="175" xfId="0" applyNumberFormat="1" applyFont="1" applyFill="1" applyBorder="1" applyAlignment="1">
      <alignment horizontal="center"/>
    </xf>
    <xf numFmtId="171" fontId="75" fillId="6" borderId="169" xfId="0" applyNumberFormat="1" applyFont="1" applyFill="1" applyBorder="1" applyAlignment="1">
      <alignment horizontal="center"/>
    </xf>
    <xf numFmtId="0" fontId="0" fillId="21" borderId="0" xfId="0" applyFill="1" applyBorder="1"/>
    <xf numFmtId="0" fontId="0" fillId="21" borderId="0" xfId="0" applyFill="1" applyBorder="1" applyProtection="1"/>
    <xf numFmtId="0" fontId="127" fillId="53" borderId="0" xfId="0" applyFont="1" applyFill="1" applyAlignment="1">
      <alignment horizontal="left" vertical="top" wrapText="1"/>
    </xf>
    <xf numFmtId="0" fontId="129" fillId="53" borderId="77" xfId="0" applyFont="1" applyFill="1" applyBorder="1" applyAlignment="1">
      <alignment horizontal="left" vertical="center" wrapText="1"/>
    </xf>
    <xf numFmtId="165" fontId="162" fillId="21" borderId="0" xfId="2" applyNumberFormat="1" applyFont="1" applyFill="1" applyAlignment="1" applyProtection="1">
      <alignment horizontal="left" vertical="top" wrapText="1"/>
    </xf>
    <xf numFmtId="0" fontId="26" fillId="6" borderId="0" xfId="0" applyFont="1" applyFill="1" applyAlignment="1">
      <alignment horizontal="center" vertical="center" wrapText="1"/>
    </xf>
    <xf numFmtId="0" fontId="26" fillId="6" borderId="0" xfId="0" applyFont="1" applyFill="1" applyAlignment="1">
      <alignment horizontal="center" vertical="center"/>
    </xf>
    <xf numFmtId="0" fontId="0" fillId="5" borderId="0" xfId="0" applyFill="1" applyAlignment="1">
      <alignment horizontal="center"/>
    </xf>
    <xf numFmtId="22" fontId="0" fillId="5" borderId="90" xfId="0" applyNumberFormat="1" applyFill="1" applyBorder="1" applyAlignment="1" applyProtection="1">
      <alignment horizontal="left"/>
      <protection locked="0"/>
    </xf>
    <xf numFmtId="22" fontId="0" fillId="5" borderId="91" xfId="0" applyNumberFormat="1" applyFill="1" applyBorder="1" applyAlignment="1" applyProtection="1">
      <alignment horizontal="left"/>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105" fillId="5" borderId="1" xfId="0" applyFont="1" applyFill="1" applyBorder="1" applyAlignment="1">
      <alignment horizontal="left"/>
    </xf>
    <xf numFmtId="0" fontId="16" fillId="12" borderId="3" xfId="0" applyFont="1" applyFill="1" applyBorder="1" applyAlignment="1" applyProtection="1">
      <alignment horizontal="left" vertical="top"/>
      <protection locked="0"/>
    </xf>
    <xf numFmtId="0" fontId="16" fillId="12" borderId="4" xfId="0" applyFont="1" applyFill="1" applyBorder="1" applyAlignment="1" applyProtection="1">
      <alignment horizontal="left" vertical="top"/>
      <protection locked="0"/>
    </xf>
    <xf numFmtId="0" fontId="16" fillId="12" borderId="5" xfId="0" applyFont="1" applyFill="1" applyBorder="1" applyAlignment="1" applyProtection="1">
      <alignment horizontal="left" vertical="top"/>
      <protection locked="0"/>
    </xf>
    <xf numFmtId="0" fontId="151" fillId="5" borderId="13" xfId="0" applyFont="1" applyFill="1" applyBorder="1" applyAlignment="1">
      <alignment horizontal="left"/>
    </xf>
    <xf numFmtId="0" fontId="151" fillId="5" borderId="1" xfId="0" applyFont="1" applyFill="1" applyBorder="1" applyAlignment="1">
      <alignment horizontal="left"/>
    </xf>
    <xf numFmtId="0" fontId="151" fillId="5" borderId="14" xfId="0" applyFont="1" applyFill="1" applyBorder="1" applyAlignment="1">
      <alignment horizontal="left"/>
    </xf>
    <xf numFmtId="0" fontId="5" fillId="5" borderId="15" xfId="0" applyFont="1" applyFill="1" applyBorder="1" applyAlignment="1">
      <alignment horizontal="center"/>
    </xf>
    <xf numFmtId="0" fontId="5" fillId="5" borderId="7" xfId="0" applyFont="1" applyFill="1" applyBorder="1" applyAlignment="1">
      <alignment horizontal="center"/>
    </xf>
    <xf numFmtId="22" fontId="65" fillId="6" borderId="86" xfId="0" applyNumberFormat="1" applyFont="1" applyFill="1" applyBorder="1" applyAlignment="1">
      <alignment horizontal="left"/>
    </xf>
    <xf numFmtId="22" fontId="65" fillId="6" borderId="87" xfId="0" applyNumberFormat="1" applyFont="1" applyFill="1" applyBorder="1" applyAlignment="1">
      <alignment horizontal="left"/>
    </xf>
    <xf numFmtId="22" fontId="65" fillId="6" borderId="88" xfId="0" applyNumberFormat="1" applyFont="1" applyFill="1" applyBorder="1" applyAlignment="1">
      <alignment horizontal="left"/>
    </xf>
    <xf numFmtId="0" fontId="151" fillId="5" borderId="8" xfId="0" applyFont="1" applyFill="1" applyBorder="1" applyAlignment="1">
      <alignment horizontal="left"/>
    </xf>
    <xf numFmtId="0" fontId="151" fillId="5" borderId="9" xfId="0" applyFont="1" applyFill="1" applyBorder="1" applyAlignment="1">
      <alignment horizontal="left"/>
    </xf>
    <xf numFmtId="0" fontId="40" fillId="5" borderId="8" xfId="0" applyFont="1" applyFill="1" applyBorder="1" applyAlignment="1">
      <alignment horizontal="center"/>
    </xf>
    <xf numFmtId="0" fontId="40" fillId="5" borderId="10" xfId="0" applyFont="1" applyFill="1" applyBorder="1" applyAlignment="1">
      <alignment horizontal="center"/>
    </xf>
    <xf numFmtId="0" fontId="65" fillId="5" borderId="121" xfId="0" applyFont="1" applyFill="1" applyBorder="1" applyAlignment="1">
      <alignment horizontal="left"/>
    </xf>
    <xf numFmtId="0" fontId="65" fillId="5" borderId="9" xfId="0" applyFont="1" applyFill="1" applyBorder="1" applyAlignment="1">
      <alignment horizontal="left"/>
    </xf>
    <xf numFmtId="0" fontId="65" fillId="5" borderId="10" xfId="0" applyFont="1" applyFill="1" applyBorder="1" applyAlignment="1">
      <alignment horizontal="left"/>
    </xf>
    <xf numFmtId="0" fontId="160" fillId="12" borderId="0" xfId="0" applyFont="1" applyFill="1" applyAlignment="1">
      <alignment horizontal="left" vertical="top" wrapText="1"/>
    </xf>
    <xf numFmtId="0" fontId="67" fillId="6" borderId="84" xfId="0" applyFont="1" applyFill="1" applyBorder="1" applyAlignment="1">
      <alignment horizontal="left"/>
    </xf>
    <xf numFmtId="0" fontId="67" fillId="6" borderId="85" xfId="0" applyFont="1" applyFill="1" applyBorder="1" applyAlignment="1">
      <alignment horizontal="left"/>
    </xf>
    <xf numFmtId="0" fontId="67" fillId="6" borderId="78" xfId="0" applyFont="1" applyFill="1" applyBorder="1" applyAlignment="1">
      <alignment horizontal="left"/>
    </xf>
    <xf numFmtId="0" fontId="67" fillId="6" borderId="76" xfId="0" applyFont="1" applyFill="1" applyBorder="1" applyAlignment="1">
      <alignment horizontal="left"/>
    </xf>
    <xf numFmtId="0" fontId="65" fillId="5" borderId="79" xfId="0" applyFont="1" applyFill="1" applyBorder="1" applyAlignment="1">
      <alignment horizontal="left"/>
    </xf>
    <xf numFmtId="0" fontId="65" fillId="5" borderId="80" xfId="0" applyFont="1" applyFill="1" applyBorder="1" applyAlignment="1">
      <alignment horizontal="left"/>
    </xf>
    <xf numFmtId="0" fontId="65" fillId="5" borderId="81" xfId="0" applyFont="1" applyFill="1" applyBorder="1" applyAlignment="1">
      <alignment horizontal="left"/>
    </xf>
    <xf numFmtId="0" fontId="67" fillId="6" borderId="82" xfId="0" applyFont="1" applyFill="1" applyBorder="1" applyAlignment="1">
      <alignment horizontal="left"/>
    </xf>
    <xf numFmtId="0" fontId="67" fillId="6" borderId="75" xfId="0" applyFont="1" applyFill="1" applyBorder="1" applyAlignment="1">
      <alignment horizontal="left"/>
    </xf>
    <xf numFmtId="0" fontId="47" fillId="5" borderId="0" xfId="0" applyFont="1" applyFill="1" applyAlignment="1">
      <alignment horizontal="right" vertical="center" textRotation="90"/>
    </xf>
    <xf numFmtId="0" fontId="55" fillId="5" borderId="34" xfId="0" applyFont="1" applyFill="1" applyBorder="1" applyAlignment="1">
      <alignment horizontal="right"/>
    </xf>
    <xf numFmtId="0" fontId="55" fillId="5" borderId="0" xfId="0" applyFont="1" applyFill="1" applyAlignment="1">
      <alignment horizontal="right"/>
    </xf>
    <xf numFmtId="0" fontId="55" fillId="5" borderId="67" xfId="0" applyFont="1" applyFill="1" applyBorder="1" applyAlignment="1">
      <alignment horizontal="center"/>
    </xf>
    <xf numFmtId="0" fontId="55" fillId="5" borderId="68" xfId="0" applyFont="1" applyFill="1" applyBorder="1" applyAlignment="1">
      <alignment horizontal="center"/>
    </xf>
    <xf numFmtId="0" fontId="55" fillId="5" borderId="30" xfId="0" applyFont="1" applyFill="1" applyBorder="1" applyAlignment="1">
      <alignment horizontal="right"/>
    </xf>
    <xf numFmtId="0" fontId="55" fillId="5" borderId="31" xfId="0" applyFont="1" applyFill="1" applyBorder="1" applyAlignment="1">
      <alignment horizontal="right"/>
    </xf>
    <xf numFmtId="0" fontId="55" fillId="5" borderId="35" xfId="0" applyFont="1" applyFill="1" applyBorder="1" applyAlignment="1">
      <alignment horizontal="right"/>
    </xf>
    <xf numFmtId="0" fontId="55" fillId="5" borderId="36" xfId="0" applyFont="1" applyFill="1" applyBorder="1" applyAlignment="1">
      <alignment horizontal="right"/>
    </xf>
    <xf numFmtId="0" fontId="67" fillId="6" borderId="103" xfId="0" applyFont="1" applyFill="1" applyBorder="1" applyAlignment="1">
      <alignment horizontal="left"/>
    </xf>
    <xf numFmtId="0" fontId="67" fillId="6" borderId="104" xfId="0" applyFont="1" applyFill="1" applyBorder="1" applyAlignment="1">
      <alignment horizontal="left"/>
    </xf>
    <xf numFmtId="0" fontId="67" fillId="6" borderId="105" xfId="0" applyFont="1" applyFill="1" applyBorder="1" applyAlignment="1">
      <alignment horizontal="left"/>
    </xf>
    <xf numFmtId="0" fontId="67" fillId="6" borderId="106" xfId="0" applyFont="1" applyFill="1" applyBorder="1" applyAlignment="1">
      <alignment horizontal="left"/>
    </xf>
    <xf numFmtId="0" fontId="67" fillId="6" borderId="107" xfId="0" applyFont="1" applyFill="1" applyBorder="1" applyAlignment="1">
      <alignment horizontal="left"/>
    </xf>
    <xf numFmtId="0" fontId="67" fillId="6" borderId="108" xfId="0" applyFont="1" applyFill="1" applyBorder="1" applyAlignment="1">
      <alignment horizontal="left"/>
    </xf>
    <xf numFmtId="0" fontId="5" fillId="5" borderId="0" xfId="0" applyFont="1" applyFill="1" applyAlignment="1">
      <alignment horizontal="right"/>
    </xf>
    <xf numFmtId="0" fontId="3" fillId="6" borderId="0" xfId="0" applyFont="1" applyFill="1" applyAlignment="1">
      <alignment horizontal="left"/>
    </xf>
    <xf numFmtId="0" fontId="5" fillId="3" borderId="15" xfId="0" applyFont="1" applyFill="1" applyBorder="1" applyAlignment="1">
      <alignment horizontal="right"/>
    </xf>
    <xf numFmtId="0" fontId="5" fillId="3" borderId="6" xfId="0" applyFont="1" applyFill="1" applyBorder="1" applyAlignment="1">
      <alignment horizontal="right"/>
    </xf>
    <xf numFmtId="0" fontId="5" fillId="4" borderId="15" xfId="0" applyFont="1" applyFill="1" applyBorder="1" applyAlignment="1">
      <alignment horizontal="right"/>
    </xf>
    <xf numFmtId="0" fontId="5" fillId="4" borderId="6" xfId="0" applyFont="1" applyFill="1" applyBorder="1" applyAlignment="1">
      <alignment horizontal="right"/>
    </xf>
    <xf numFmtId="0" fontId="114" fillId="5" borderId="0" xfId="0" applyFont="1" applyFill="1" applyAlignment="1">
      <alignment horizontal="left" vertical="top" wrapText="1"/>
    </xf>
    <xf numFmtId="0" fontId="0" fillId="5" borderId="0" xfId="0" applyFill="1" applyAlignment="1">
      <alignment horizontal="left" vertical="top" wrapText="1"/>
    </xf>
    <xf numFmtId="0" fontId="14" fillId="5" borderId="15" xfId="0" applyFont="1" applyFill="1" applyBorder="1" applyAlignment="1">
      <alignment horizontal="center"/>
    </xf>
    <xf numFmtId="0" fontId="14" fillId="5" borderId="6" xfId="0" applyFont="1" applyFill="1" applyBorder="1" applyAlignment="1">
      <alignment horizontal="center"/>
    </xf>
    <xf numFmtId="0" fontId="13" fillId="5" borderId="160" xfId="0" applyFont="1" applyFill="1" applyBorder="1" applyAlignment="1">
      <alignment horizontal="center"/>
    </xf>
    <xf numFmtId="0" fontId="13" fillId="5" borderId="6" xfId="0" applyFont="1" applyFill="1" applyBorder="1" applyAlignment="1">
      <alignment horizontal="center"/>
    </xf>
    <xf numFmtId="0" fontId="6" fillId="5" borderId="15" xfId="0" applyFont="1" applyFill="1" applyBorder="1" applyAlignment="1">
      <alignment horizontal="center"/>
    </xf>
    <xf numFmtId="0" fontId="6" fillId="5" borderId="6" xfId="0" applyFont="1" applyFill="1" applyBorder="1" applyAlignment="1">
      <alignment horizontal="center"/>
    </xf>
    <xf numFmtId="0" fontId="5" fillId="5" borderId="161" xfId="0" applyFont="1" applyFill="1" applyBorder="1" applyAlignment="1">
      <alignment horizontal="center"/>
    </xf>
    <xf numFmtId="0" fontId="5" fillId="5" borderId="162" xfId="0" applyFont="1" applyFill="1" applyBorder="1" applyAlignment="1">
      <alignment horizontal="center"/>
    </xf>
    <xf numFmtId="0" fontId="14" fillId="5" borderId="161" xfId="0" applyFont="1" applyFill="1" applyBorder="1" applyAlignment="1">
      <alignment horizontal="center"/>
    </xf>
    <xf numFmtId="0" fontId="14" fillId="5" borderId="162" xfId="0" applyFont="1" applyFill="1" applyBorder="1" applyAlignment="1">
      <alignment horizontal="center"/>
    </xf>
    <xf numFmtId="0" fontId="13" fillId="5" borderId="161" xfId="0" applyFont="1" applyFill="1" applyBorder="1" applyAlignment="1">
      <alignment horizontal="center"/>
    </xf>
    <xf numFmtId="0" fontId="13" fillId="5" borderId="162" xfId="0" applyFont="1" applyFill="1" applyBorder="1" applyAlignment="1">
      <alignment horizontal="center"/>
    </xf>
    <xf numFmtId="0" fontId="2" fillId="5" borderId="0" xfId="0" applyFont="1" applyFill="1" applyAlignment="1">
      <alignment horizontal="center"/>
    </xf>
    <xf numFmtId="0" fontId="2" fillId="5" borderId="8" xfId="0" applyFont="1" applyFill="1" applyBorder="1" applyAlignment="1">
      <alignment horizontal="right"/>
    </xf>
    <xf numFmtId="0" fontId="2" fillId="5" borderId="10" xfId="0" applyFont="1" applyFill="1" applyBorder="1" applyAlignment="1">
      <alignment horizontal="right"/>
    </xf>
    <xf numFmtId="0" fontId="2" fillId="5" borderId="13" xfId="0" applyFont="1" applyFill="1" applyBorder="1" applyAlignment="1">
      <alignment horizontal="right"/>
    </xf>
    <xf numFmtId="0" fontId="2" fillId="5" borderId="14" xfId="0" applyFont="1" applyFill="1" applyBorder="1" applyAlignment="1">
      <alignment horizontal="right"/>
    </xf>
    <xf numFmtId="0" fontId="2" fillId="5" borderId="15" xfId="0" applyFont="1" applyFill="1" applyBorder="1" applyAlignment="1">
      <alignment horizontal="right"/>
    </xf>
    <xf numFmtId="0" fontId="2" fillId="5" borderId="7" xfId="0" applyFont="1" applyFill="1" applyBorder="1" applyAlignment="1">
      <alignment horizontal="right"/>
    </xf>
    <xf numFmtId="0" fontId="44" fillId="5" borderId="8" xfId="0" applyFont="1" applyFill="1" applyBorder="1" applyAlignment="1">
      <alignment horizontal="right"/>
    </xf>
    <xf numFmtId="0" fontId="44" fillId="5" borderId="10" xfId="0" applyFont="1" applyFill="1" applyBorder="1" applyAlignment="1">
      <alignment horizontal="right"/>
    </xf>
    <xf numFmtId="0" fontId="42" fillId="5" borderId="13" xfId="0" applyFont="1" applyFill="1" applyBorder="1" applyAlignment="1">
      <alignment horizontal="right"/>
    </xf>
    <xf numFmtId="0" fontId="42" fillId="5" borderId="14" xfId="0" applyFont="1" applyFill="1" applyBorder="1" applyAlignment="1">
      <alignment horizontal="right"/>
    </xf>
    <xf numFmtId="0" fontId="2" fillId="5" borderId="15" xfId="0" applyFont="1" applyFill="1" applyBorder="1" applyAlignment="1">
      <alignment horizontal="center"/>
    </xf>
    <xf numFmtId="0" fontId="2" fillId="5" borderId="6" xfId="0" applyFont="1" applyFill="1" applyBorder="1" applyAlignment="1">
      <alignment horizontal="center"/>
    </xf>
    <xf numFmtId="0" fontId="2" fillId="5" borderId="7" xfId="0" applyFont="1" applyFill="1" applyBorder="1" applyAlignment="1">
      <alignment horizontal="center"/>
    </xf>
  </cellXfs>
  <cellStyles count="6">
    <cellStyle name="Normal" xfId="0" builtinId="0"/>
    <cellStyle name="Normal 2" xfId="1" xr:uid="{A66D14B5-ADF6-4C7A-94BA-9E63FC43CDEB}"/>
    <cellStyle name="Normal 2 2" xfId="5" xr:uid="{E0407C87-98A3-4BDE-873C-ACA4EE11FC16}"/>
    <cellStyle name="Normal 3" xfId="2" xr:uid="{765A7C66-41E3-49F1-B10D-BF068202F2D2}"/>
    <cellStyle name="Normal 3 2" xfId="4" xr:uid="{F161CE67-2831-416D-A29D-CB54D49F6228}"/>
    <cellStyle name="Procent" xfId="3" builtinId="5"/>
  </cellStyles>
  <dxfs count="107">
    <dxf>
      <fill>
        <patternFill>
          <bgColor theme="0" tint="-0.14996795556505021"/>
        </patternFill>
      </fill>
      <border>
        <left style="thin">
          <color auto="1"/>
        </left>
        <right style="thin">
          <color auto="1"/>
        </right>
        <top style="thin">
          <color auto="1"/>
        </top>
        <bottom style="thin">
          <color auto="1"/>
        </bottom>
        <vertical/>
        <horizontal/>
      </border>
    </dxf>
    <dxf>
      <font>
        <strike val="0"/>
        <color theme="0"/>
      </font>
      <fill>
        <patternFill>
          <bgColor theme="0"/>
        </patternFill>
      </fill>
    </dxf>
    <dxf>
      <font>
        <strike val="0"/>
        <color theme="0" tint="-0.499984740745262"/>
      </font>
    </dxf>
    <dxf>
      <numFmt numFmtId="170" formatCode="#,##0.000"/>
    </dxf>
    <dxf>
      <numFmt numFmtId="176" formatCode="#,##0.0000"/>
    </dxf>
    <dxf>
      <numFmt numFmtId="175" formatCode="#,##0.00000"/>
    </dxf>
    <dxf>
      <numFmt numFmtId="174" formatCode="#,##0.000000"/>
    </dxf>
    <dxf>
      <numFmt numFmtId="173" formatCode="#,##0.0000000"/>
    </dxf>
    <dxf>
      <numFmt numFmtId="175" formatCode="#,##0.00000"/>
    </dxf>
    <dxf>
      <numFmt numFmtId="15" formatCode="0.00E+00"/>
    </dxf>
    <dxf>
      <numFmt numFmtId="4" formatCode="#,##0.00"/>
    </dxf>
    <dxf>
      <numFmt numFmtId="177" formatCode="#,##0.0"/>
    </dxf>
    <dxf>
      <numFmt numFmtId="3" formatCode="#,##0"/>
    </dxf>
    <dxf>
      <numFmt numFmtId="15" formatCode="0.00E+00"/>
    </dxf>
    <dxf>
      <numFmt numFmtId="15" formatCode="0.00E+00"/>
    </dxf>
    <dxf>
      <numFmt numFmtId="173" formatCode="#,##0.0000000"/>
    </dxf>
    <dxf>
      <numFmt numFmtId="174" formatCode="#,##0.000000"/>
    </dxf>
    <dxf>
      <numFmt numFmtId="176" formatCode="#,##0.0000"/>
    </dxf>
    <dxf>
      <numFmt numFmtId="170" formatCode="#,##0.000"/>
    </dxf>
    <dxf>
      <numFmt numFmtId="4" formatCode="#,##0.00"/>
    </dxf>
    <dxf>
      <numFmt numFmtId="177" formatCode="#,##0.0"/>
    </dxf>
    <dxf>
      <numFmt numFmtId="3" formatCode="#,##0"/>
    </dxf>
    <dxf>
      <numFmt numFmtId="15" formatCode="0.00E+00"/>
    </dxf>
    <dxf>
      <numFmt numFmtId="176" formatCode="#,##0.0000"/>
    </dxf>
    <dxf>
      <numFmt numFmtId="170" formatCode="#,##0.000"/>
    </dxf>
    <dxf>
      <numFmt numFmtId="15" formatCode="0.00E+00"/>
    </dxf>
    <dxf>
      <numFmt numFmtId="177" formatCode="#,##0.0"/>
    </dxf>
    <dxf>
      <numFmt numFmtId="3" formatCode="#,##0"/>
    </dxf>
    <dxf>
      <numFmt numFmtId="15" formatCode="0.00E+00"/>
    </dxf>
    <dxf>
      <numFmt numFmtId="4" formatCode="#,##0.00"/>
    </dxf>
    <dxf>
      <numFmt numFmtId="175" formatCode="#,##0.00000"/>
    </dxf>
    <dxf>
      <numFmt numFmtId="15" formatCode="0.00E+00"/>
    </dxf>
    <dxf>
      <numFmt numFmtId="173" formatCode="#,##0.0000000"/>
    </dxf>
    <dxf>
      <numFmt numFmtId="174" formatCode="#,##0.000000"/>
    </dxf>
    <dxf>
      <numFmt numFmtId="176" formatCode="#,##0.0000"/>
    </dxf>
    <dxf>
      <numFmt numFmtId="170" formatCode="#,##0.000"/>
    </dxf>
    <dxf>
      <numFmt numFmtId="4" formatCode="#,##0.00"/>
    </dxf>
    <dxf>
      <numFmt numFmtId="177" formatCode="#,##0.0"/>
    </dxf>
    <dxf>
      <numFmt numFmtId="3" formatCode="#,##0"/>
    </dxf>
    <dxf>
      <numFmt numFmtId="15" formatCode="0.00E+00"/>
    </dxf>
    <dxf>
      <numFmt numFmtId="173" formatCode="#,##0.0000000"/>
    </dxf>
    <dxf>
      <numFmt numFmtId="174" formatCode="#,##0.000000"/>
    </dxf>
    <dxf>
      <numFmt numFmtId="175" formatCode="#,##0.00000"/>
    </dxf>
    <dxf>
      <font>
        <color rgb="FF0070C0"/>
      </font>
      <fill>
        <patternFill>
          <bgColor theme="7" tint="0.79998168889431442"/>
        </patternFill>
      </fill>
    </dxf>
    <dxf>
      <font>
        <color theme="6"/>
      </font>
      <fill>
        <patternFill>
          <bgColor theme="9" tint="0.79998168889431442"/>
        </patternFill>
      </fill>
    </dxf>
    <dxf>
      <fill>
        <patternFill>
          <bgColor theme="0" tint="-4.9989318521683403E-2"/>
        </patternFill>
      </fill>
    </dxf>
    <dxf>
      <font>
        <b/>
        <i/>
        <color rgb="FFFF0000"/>
      </font>
      <border>
        <left/>
        <right style="thin">
          <color auto="1"/>
        </right>
        <top style="thin">
          <color auto="1"/>
        </top>
        <bottom style="thin">
          <color auto="1"/>
        </bottom>
        <vertical/>
        <horizontal/>
      </border>
    </dxf>
    <dxf>
      <font>
        <b/>
        <i/>
        <color rgb="FFFF0000"/>
      </font>
    </dxf>
    <dxf>
      <font>
        <b/>
        <i/>
        <color rgb="FF0070C0"/>
      </font>
    </dxf>
    <dxf>
      <font>
        <b/>
        <i/>
        <color rgb="FFFF0000"/>
      </font>
    </dxf>
    <dxf>
      <font>
        <b/>
        <i/>
        <color rgb="FF0070C0"/>
      </font>
    </dxf>
    <dxf>
      <fill>
        <patternFill>
          <bgColor theme="0" tint="-4.9989318521683403E-2"/>
        </patternFill>
      </fill>
    </dxf>
    <dxf>
      <fill>
        <patternFill>
          <bgColor rgb="FFE6E6E6"/>
        </patternFill>
      </fill>
      <border>
        <left style="thin">
          <color auto="1"/>
        </left>
        <right style="thin">
          <color auto="1"/>
        </right>
        <top style="thin">
          <color auto="1"/>
        </top>
        <bottom style="thin">
          <color auto="1"/>
        </bottom>
      </border>
    </dxf>
    <dxf>
      <font>
        <strike val="0"/>
        <color theme="0"/>
      </font>
      <fill>
        <patternFill>
          <bgColor theme="0"/>
        </patternFill>
      </fill>
    </dxf>
    <dxf>
      <numFmt numFmtId="168" formatCode="0.0E+00"/>
    </dxf>
    <dxf>
      <numFmt numFmtId="176" formatCode="#,##0.0000"/>
    </dxf>
    <dxf>
      <numFmt numFmtId="170" formatCode="#,##0.000"/>
    </dxf>
    <dxf>
      <numFmt numFmtId="4" formatCode="#,##0.00"/>
    </dxf>
    <dxf>
      <numFmt numFmtId="177" formatCode="#,##0.0"/>
    </dxf>
    <dxf>
      <numFmt numFmtId="3" formatCode="#,##0"/>
    </dxf>
    <dxf>
      <numFmt numFmtId="15" formatCode="0.00E+00"/>
    </dxf>
    <dxf>
      <numFmt numFmtId="175" formatCode="#,##0.00000"/>
    </dxf>
    <dxf>
      <numFmt numFmtId="176" formatCode="#,##0.0000"/>
    </dxf>
    <dxf>
      <numFmt numFmtId="170" formatCode="#,##0.000"/>
    </dxf>
    <dxf>
      <numFmt numFmtId="4" formatCode="#,##0.00"/>
    </dxf>
    <dxf>
      <numFmt numFmtId="177" formatCode="#,##0.0"/>
    </dxf>
    <dxf>
      <numFmt numFmtId="3" formatCode="#,##0"/>
    </dxf>
    <dxf>
      <fill>
        <patternFill>
          <bgColor rgb="FFE6E6E6"/>
        </patternFill>
      </fill>
      <border>
        <left style="thin">
          <color auto="1"/>
        </left>
        <right style="thin">
          <color auto="1"/>
        </right>
        <top style="thin">
          <color auto="1"/>
        </top>
        <bottom style="thin">
          <color auto="1"/>
        </bottom>
      </border>
    </dxf>
    <dxf>
      <font>
        <strike val="0"/>
        <color theme="0"/>
      </font>
      <fill>
        <patternFill>
          <bgColor theme="0"/>
        </patternFill>
      </fill>
    </dxf>
    <dxf>
      <font>
        <color rgb="FFFF0000"/>
      </font>
    </dxf>
    <dxf>
      <font>
        <b val="0"/>
        <i/>
        <color theme="5"/>
      </font>
    </dxf>
    <dxf>
      <font>
        <color rgb="FFFF0000"/>
      </font>
    </dxf>
    <dxf>
      <font>
        <strike val="0"/>
        <color rgb="FFFF0000"/>
      </font>
    </dxf>
    <dxf>
      <font>
        <b/>
        <i val="0"/>
        <color rgb="FF0070C0"/>
      </font>
      <fill>
        <patternFill>
          <bgColor theme="0" tint="-0.14996795556505021"/>
        </patternFill>
      </fill>
    </dxf>
    <dxf>
      <font>
        <color theme="1"/>
      </font>
      <fill>
        <patternFill patternType="none">
          <bgColor auto="1"/>
        </patternFill>
      </fill>
    </dxf>
    <dxf>
      <font>
        <b/>
        <i val="0"/>
        <color rgb="FF0070C0"/>
      </font>
      <fill>
        <patternFill>
          <bgColor theme="0"/>
        </patternFill>
      </fill>
    </dxf>
    <dxf>
      <font>
        <b/>
        <i val="0"/>
        <color rgb="FF0070C0"/>
      </font>
      <fill>
        <patternFill patternType="solid">
          <bgColor theme="0" tint="-0.14996795556505021"/>
        </patternFill>
      </fill>
    </dxf>
    <dxf>
      <font>
        <color rgb="FFFF0000"/>
      </font>
    </dxf>
    <dxf>
      <font>
        <color theme="0" tint="-4.9989318521683403E-2"/>
      </font>
      <fill>
        <patternFill>
          <bgColor theme="0" tint="-4.9989318521683403E-2"/>
        </patternFill>
      </fill>
    </dxf>
    <dxf>
      <font>
        <color theme="8" tint="0.59996337778862885"/>
      </font>
      <fill>
        <patternFill>
          <bgColor theme="8" tint="0.59996337778862885"/>
        </patternFill>
      </fill>
    </dxf>
    <dxf>
      <font>
        <color rgb="FF9C0006"/>
      </font>
      <fill>
        <patternFill>
          <bgColor rgb="FFFFC7CE"/>
        </patternFill>
      </fill>
    </dxf>
    <dxf>
      <font>
        <color rgb="FF9C0006"/>
      </font>
      <fill>
        <patternFill>
          <bgColor rgb="FFFFC7CE"/>
        </patternFill>
      </fill>
    </dxf>
    <dxf>
      <font>
        <b val="0"/>
        <i/>
        <color theme="5"/>
      </font>
    </dxf>
    <dxf>
      <font>
        <color rgb="FF0070C0"/>
      </font>
      <fill>
        <patternFill>
          <bgColor theme="7" tint="0.79998168889431442"/>
        </patternFill>
      </fill>
    </dxf>
    <dxf>
      <font>
        <color theme="6"/>
      </font>
      <fill>
        <patternFill>
          <bgColor theme="9" tint="0.79998168889431442"/>
        </patternFill>
      </fill>
    </dxf>
    <dxf>
      <font>
        <color rgb="FF0070C0"/>
      </font>
      <fill>
        <patternFill>
          <bgColor theme="7" tint="0.79998168889431442"/>
        </patternFill>
      </fill>
    </dxf>
    <dxf>
      <font>
        <color theme="6"/>
      </font>
      <fill>
        <patternFill>
          <bgColor theme="9" tint="0.79998168889431442"/>
        </patternFill>
      </fill>
    </dxf>
    <dxf>
      <font>
        <strike val="0"/>
        <color rgb="FFFF5D5D"/>
      </font>
      <fill>
        <patternFill>
          <bgColor theme="0" tint="-0.14996795556505021"/>
        </patternFill>
      </fill>
      <border>
        <left style="thin">
          <color auto="1"/>
        </left>
        <right style="thin">
          <color auto="1"/>
        </right>
        <top style="thin">
          <color auto="1"/>
        </top>
        <bottom style="thin">
          <color auto="1"/>
        </bottom>
      </border>
    </dxf>
    <dxf>
      <font>
        <strike val="0"/>
        <color rgb="FFFF5D5D"/>
      </font>
      <fill>
        <patternFill>
          <bgColor theme="0" tint="-0.14996795556505021"/>
        </patternFill>
      </fill>
      <border>
        <left style="thin">
          <color auto="1"/>
        </left>
        <right style="thin">
          <color auto="1"/>
        </right>
        <top style="thin">
          <color auto="1"/>
        </top>
        <bottom style="thin">
          <color auto="1"/>
        </bottom>
      </border>
    </dxf>
    <dxf>
      <font>
        <strike val="0"/>
        <color rgb="FFF1A077"/>
      </font>
      <fill>
        <patternFill>
          <bgColor theme="0" tint="-0.14996795556505021"/>
        </patternFill>
      </fill>
      <border>
        <left style="thin">
          <color auto="1"/>
        </left>
        <right style="thin">
          <color auto="1"/>
        </right>
        <top style="thin">
          <color auto="1"/>
        </top>
        <bottom style="thin">
          <color auto="1"/>
        </bottom>
      </border>
    </dxf>
    <dxf>
      <numFmt numFmtId="173" formatCode="#,##0.0000000"/>
    </dxf>
    <dxf>
      <numFmt numFmtId="174" formatCode="#,##0.000000"/>
    </dxf>
    <dxf>
      <numFmt numFmtId="175" formatCode="#,##0.00000"/>
    </dxf>
    <dxf>
      <numFmt numFmtId="176" formatCode="#,##0.0000"/>
    </dxf>
    <dxf>
      <numFmt numFmtId="170" formatCode="#,##0.000"/>
    </dxf>
    <dxf>
      <numFmt numFmtId="4" formatCode="#,##0.00"/>
    </dxf>
    <dxf>
      <numFmt numFmtId="177" formatCode="#,##0.0"/>
    </dxf>
    <dxf>
      <numFmt numFmtId="3" formatCode="#,##0"/>
    </dxf>
    <dxf>
      <numFmt numFmtId="15" formatCode="0.00E+00"/>
    </dxf>
    <dxf>
      <numFmt numFmtId="173" formatCode="#,##0.0000000"/>
    </dxf>
    <dxf>
      <numFmt numFmtId="174" formatCode="#,##0.000000"/>
    </dxf>
    <dxf>
      <numFmt numFmtId="175" formatCode="#,##0.00000"/>
    </dxf>
    <dxf>
      <numFmt numFmtId="176" formatCode="#,##0.0000"/>
    </dxf>
    <dxf>
      <numFmt numFmtId="170" formatCode="#,##0.000"/>
    </dxf>
    <dxf>
      <numFmt numFmtId="4" formatCode="#,##0.00"/>
    </dxf>
    <dxf>
      <numFmt numFmtId="177" formatCode="#,##0.0"/>
    </dxf>
    <dxf>
      <numFmt numFmtId="3" formatCode="#,##0"/>
    </dxf>
  </dxfs>
  <tableStyles count="0" defaultTableStyle="TableStyleMedium2" defaultPivotStyle="PivotStyleLight16"/>
  <colors>
    <mruColors>
      <color rgb="FFFFFF3B"/>
      <color rgb="FF193C65"/>
      <color rgb="FFE6E6E6"/>
      <color rgb="FFC626E6"/>
      <color rgb="FFCC40BF"/>
      <color rgb="FFFFFF66"/>
      <color rgb="FF1E4778"/>
      <color rgb="FF245F94"/>
      <color rgb="FFF1A077"/>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da-DK" sz="1800" b="1" i="0" u="none" strike="noStrike" kern="1200" spc="0" baseline="0">
                <a:solidFill>
                  <a:sysClr val="windowText" lastClr="000000">
                    <a:lumMod val="65000"/>
                    <a:lumOff val="35000"/>
                  </a:sysClr>
                </a:solidFill>
                <a:latin typeface="+mn-lt"/>
                <a:ea typeface="+mn-ea"/>
                <a:cs typeface="+mn-cs"/>
              </a:defRPr>
            </a:pPr>
            <a:r>
              <a:rPr lang="da-DK" sz="1800" b="1" i="0" u="none" strike="noStrike" kern="1200" spc="0" baseline="0">
                <a:solidFill>
                  <a:sysClr val="windowText" lastClr="000000">
                    <a:lumMod val="65000"/>
                    <a:lumOff val="35000"/>
                  </a:sysClr>
                </a:solidFill>
                <a:latin typeface="+mn-lt"/>
                <a:ea typeface="+mn-ea"/>
                <a:cs typeface="+mn-cs"/>
              </a:rPr>
              <a:t>Koncentration - porevand (C</a:t>
            </a:r>
            <a:r>
              <a:rPr lang="da-DK" sz="1800" b="1" i="0" u="none" strike="noStrike" kern="1200" spc="0" baseline="-25000">
                <a:solidFill>
                  <a:sysClr val="windowText" lastClr="000000">
                    <a:lumMod val="65000"/>
                    <a:lumOff val="35000"/>
                  </a:sysClr>
                </a:solidFill>
                <a:latin typeface="+mn-lt"/>
                <a:ea typeface="+mn-ea"/>
                <a:cs typeface="+mn-cs"/>
              </a:rPr>
              <a:t>w</a:t>
            </a:r>
            <a:r>
              <a:rPr lang="da-DK" sz="1800" b="1" i="0" u="none" strike="noStrike" kern="1200" spc="0" baseline="0">
                <a:solidFill>
                  <a:sysClr val="windowText" lastClr="000000">
                    <a:lumMod val="65000"/>
                    <a:lumOff val="35000"/>
                  </a:sysClr>
                </a:solidFill>
                <a:latin typeface="+mn-lt"/>
                <a:ea typeface="+mn-ea"/>
                <a:cs typeface="+mn-cs"/>
              </a:rPr>
              <a:t>)</a:t>
            </a:r>
          </a:p>
        </c:rich>
      </c:tx>
      <c:overlay val="0"/>
      <c:spPr>
        <a:noFill/>
        <a:ln>
          <a:noFill/>
        </a:ln>
        <a:effectLst/>
      </c:spPr>
      <c:txPr>
        <a:bodyPr rot="0" spcFirstLastPara="1" vertOverflow="ellipsis" vert="horz" wrap="square" anchor="ctr" anchorCtr="1"/>
        <a:lstStyle/>
        <a:p>
          <a:pPr>
            <a:defRPr lang="da-DK" sz="1800" b="1" i="0" u="none" strike="noStrike" kern="1200" spc="0" baseline="0">
              <a:solidFill>
                <a:sysClr val="windowText" lastClr="000000">
                  <a:lumMod val="65000"/>
                  <a:lumOff val="35000"/>
                </a:sysClr>
              </a:solidFill>
              <a:latin typeface="+mn-lt"/>
              <a:ea typeface="+mn-ea"/>
              <a:cs typeface="+mn-cs"/>
            </a:defRPr>
          </a:pPr>
          <a:endParaRPr lang="da-DK"/>
        </a:p>
      </c:txPr>
    </c:title>
    <c:autoTitleDeleted val="0"/>
    <c:plotArea>
      <c:layout>
        <c:manualLayout>
          <c:layoutTarget val="inner"/>
          <c:xMode val="edge"/>
          <c:yMode val="edge"/>
          <c:x val="0.19911210388011538"/>
          <c:y val="0.11287972661665463"/>
          <c:w val="0.59980149801381422"/>
          <c:h val="0.72831142749556199"/>
        </c:manualLayout>
      </c:layout>
      <c:pieChart>
        <c:varyColors val="1"/>
        <c:ser>
          <c:idx val="0"/>
          <c:order val="0"/>
          <c:spPr>
            <a:ln w="9525">
              <a:solidFill>
                <a:schemeClr val="tx1">
                  <a:lumMod val="50000"/>
                  <a:lumOff val="50000"/>
                </a:schemeClr>
              </a:solidFill>
            </a:ln>
          </c:spPr>
          <c:dPt>
            <c:idx val="0"/>
            <c:bubble3D val="0"/>
            <c:spPr>
              <a:solidFill>
                <a:srgbClr val="DCECF6"/>
              </a:solidFill>
              <a:ln w="9525">
                <a:solidFill>
                  <a:schemeClr val="tx1">
                    <a:lumMod val="50000"/>
                    <a:lumOff val="50000"/>
                  </a:schemeClr>
                </a:solidFill>
              </a:ln>
              <a:effectLst/>
            </c:spPr>
            <c:extLst>
              <c:ext xmlns:c16="http://schemas.microsoft.com/office/drawing/2014/chart" uri="{C3380CC4-5D6E-409C-BE32-E72D297353CC}">
                <c16:uniqueId val="{00000001-11C2-4B65-8F2B-13FDCC78C6C9}"/>
              </c:ext>
            </c:extLst>
          </c:dPt>
          <c:dPt>
            <c:idx val="1"/>
            <c:bubble3D val="0"/>
            <c:spPr>
              <a:solidFill>
                <a:srgbClr val="BBD7E9"/>
              </a:solidFill>
              <a:ln w="9525">
                <a:solidFill>
                  <a:schemeClr val="tx1">
                    <a:lumMod val="50000"/>
                    <a:lumOff val="50000"/>
                  </a:schemeClr>
                </a:solidFill>
              </a:ln>
              <a:effectLst/>
            </c:spPr>
            <c:extLst>
              <c:ext xmlns:c16="http://schemas.microsoft.com/office/drawing/2014/chart" uri="{C3380CC4-5D6E-409C-BE32-E72D297353CC}">
                <c16:uniqueId val="{00000003-11C2-4B65-8F2B-13FDCC78C6C9}"/>
              </c:ext>
            </c:extLst>
          </c:dPt>
          <c:dPt>
            <c:idx val="2"/>
            <c:bubble3D val="0"/>
            <c:spPr>
              <a:solidFill>
                <a:srgbClr val="9EC0E5"/>
              </a:solidFill>
              <a:ln w="9525">
                <a:solidFill>
                  <a:schemeClr val="tx1">
                    <a:lumMod val="50000"/>
                    <a:lumOff val="50000"/>
                  </a:schemeClr>
                </a:solidFill>
              </a:ln>
              <a:effectLst/>
            </c:spPr>
            <c:extLst>
              <c:ext xmlns:c16="http://schemas.microsoft.com/office/drawing/2014/chart" uri="{C3380CC4-5D6E-409C-BE32-E72D297353CC}">
                <c16:uniqueId val="{00000005-11C2-4B65-8F2B-13FDCC78C6C9}"/>
              </c:ext>
            </c:extLst>
          </c:dPt>
          <c:dPt>
            <c:idx val="3"/>
            <c:bubble3D val="0"/>
            <c:spPr>
              <a:solidFill>
                <a:srgbClr val="3272B6"/>
              </a:solidFill>
              <a:ln w="9525">
                <a:solidFill>
                  <a:schemeClr val="tx1">
                    <a:lumMod val="50000"/>
                    <a:lumOff val="50000"/>
                  </a:schemeClr>
                </a:solidFill>
              </a:ln>
              <a:effectLst/>
            </c:spPr>
            <c:extLst>
              <c:ext xmlns:c16="http://schemas.microsoft.com/office/drawing/2014/chart" uri="{C3380CC4-5D6E-409C-BE32-E72D297353CC}">
                <c16:uniqueId val="{00000007-11C2-4B65-8F2B-13FDCC78C6C9}"/>
              </c:ext>
            </c:extLst>
          </c:dPt>
          <c:dPt>
            <c:idx val="4"/>
            <c:bubble3D val="0"/>
            <c:spPr>
              <a:solidFill>
                <a:srgbClr val="204C75"/>
              </a:solidFill>
              <a:ln w="9525">
                <a:solidFill>
                  <a:schemeClr val="tx1">
                    <a:lumMod val="50000"/>
                    <a:lumOff val="50000"/>
                  </a:schemeClr>
                </a:solidFill>
              </a:ln>
              <a:effectLst/>
            </c:spPr>
            <c:extLst>
              <c:ext xmlns:c16="http://schemas.microsoft.com/office/drawing/2014/chart" uri="{C3380CC4-5D6E-409C-BE32-E72D297353CC}">
                <c16:uniqueId val="{00000009-11C2-4B65-8F2B-13FDCC78C6C9}"/>
              </c:ext>
            </c:extLst>
          </c:dPt>
          <c:dPt>
            <c:idx val="5"/>
            <c:bubble3D val="0"/>
            <c:spPr>
              <a:solidFill>
                <a:srgbClr val="E0EFD6"/>
              </a:solidFill>
              <a:ln w="9525">
                <a:solidFill>
                  <a:schemeClr val="tx1">
                    <a:lumMod val="50000"/>
                    <a:lumOff val="50000"/>
                  </a:schemeClr>
                </a:solidFill>
              </a:ln>
              <a:effectLst/>
            </c:spPr>
            <c:extLst>
              <c:ext xmlns:c16="http://schemas.microsoft.com/office/drawing/2014/chart" uri="{C3380CC4-5D6E-409C-BE32-E72D297353CC}">
                <c16:uniqueId val="{0000000B-11C2-4B65-8F2B-13FDCC78C6C9}"/>
              </c:ext>
            </c:extLst>
          </c:dPt>
          <c:dPt>
            <c:idx val="6"/>
            <c:bubble3D val="0"/>
            <c:spPr>
              <a:solidFill>
                <a:srgbClr val="C6DFB5"/>
              </a:solidFill>
              <a:ln w="9525">
                <a:solidFill>
                  <a:schemeClr val="tx1">
                    <a:lumMod val="50000"/>
                    <a:lumOff val="50000"/>
                  </a:schemeClr>
                </a:solidFill>
              </a:ln>
              <a:effectLst/>
            </c:spPr>
            <c:extLst>
              <c:ext xmlns:c16="http://schemas.microsoft.com/office/drawing/2014/chart" uri="{C3380CC4-5D6E-409C-BE32-E72D297353CC}">
                <c16:uniqueId val="{0000000D-11C2-4B65-8F2B-13FDCC78C6C9}"/>
              </c:ext>
            </c:extLst>
          </c:dPt>
          <c:dPt>
            <c:idx val="7"/>
            <c:bubble3D val="0"/>
            <c:spPr>
              <a:solidFill>
                <a:srgbClr val="A7CF8F"/>
              </a:solidFill>
              <a:ln w="9525">
                <a:solidFill>
                  <a:schemeClr val="tx1">
                    <a:lumMod val="50000"/>
                    <a:lumOff val="50000"/>
                  </a:schemeClr>
                </a:solidFill>
              </a:ln>
              <a:effectLst/>
            </c:spPr>
            <c:extLst>
              <c:ext xmlns:c16="http://schemas.microsoft.com/office/drawing/2014/chart" uri="{C3380CC4-5D6E-409C-BE32-E72D297353CC}">
                <c16:uniqueId val="{0000000F-11C2-4B65-8F2B-13FDCC78C6C9}"/>
              </c:ext>
            </c:extLst>
          </c:dPt>
          <c:dPt>
            <c:idx val="8"/>
            <c:bubble3D val="0"/>
            <c:spPr>
              <a:solidFill>
                <a:srgbClr val="70AA4C"/>
              </a:solidFill>
              <a:ln w="9525">
                <a:solidFill>
                  <a:schemeClr val="tx1">
                    <a:lumMod val="50000"/>
                    <a:lumOff val="50000"/>
                  </a:schemeClr>
                </a:solidFill>
              </a:ln>
              <a:effectLst/>
            </c:spPr>
            <c:extLst>
              <c:ext xmlns:c16="http://schemas.microsoft.com/office/drawing/2014/chart" uri="{C3380CC4-5D6E-409C-BE32-E72D297353CC}">
                <c16:uniqueId val="{00000011-11C2-4B65-8F2B-13FDCC78C6C9}"/>
              </c:ext>
            </c:extLst>
          </c:dPt>
          <c:dPt>
            <c:idx val="9"/>
            <c:bubble3D val="0"/>
            <c:spPr>
              <a:solidFill>
                <a:srgbClr val="538137"/>
              </a:solidFill>
              <a:ln w="9525">
                <a:solidFill>
                  <a:schemeClr val="tx1">
                    <a:lumMod val="50000"/>
                    <a:lumOff val="50000"/>
                  </a:schemeClr>
                </a:solidFill>
              </a:ln>
              <a:effectLst/>
            </c:spPr>
            <c:extLst>
              <c:ext xmlns:c16="http://schemas.microsoft.com/office/drawing/2014/chart" uri="{C3380CC4-5D6E-409C-BE32-E72D297353CC}">
                <c16:uniqueId val="{00000013-11C2-4B65-8F2B-13FDCC78C6C9}"/>
              </c:ext>
            </c:extLst>
          </c:dPt>
          <c:dPt>
            <c:idx val="10"/>
            <c:bubble3D val="0"/>
            <c:spPr>
              <a:solidFill>
                <a:srgbClr val="FDEFD0"/>
              </a:solidFill>
              <a:ln w="9525">
                <a:solidFill>
                  <a:schemeClr val="tx1">
                    <a:lumMod val="50000"/>
                    <a:lumOff val="50000"/>
                  </a:schemeClr>
                </a:solidFill>
              </a:ln>
              <a:effectLst/>
            </c:spPr>
            <c:extLst>
              <c:ext xmlns:c16="http://schemas.microsoft.com/office/drawing/2014/chart" uri="{C3380CC4-5D6E-409C-BE32-E72D297353CC}">
                <c16:uniqueId val="{00000015-11C2-4B65-8F2B-13FDCC78C6C9}"/>
              </c:ext>
            </c:extLst>
          </c:dPt>
          <c:dPt>
            <c:idx val="11"/>
            <c:bubble3D val="0"/>
            <c:spPr>
              <a:solidFill>
                <a:srgbClr val="FBE59B"/>
              </a:solidFill>
              <a:ln w="9525">
                <a:solidFill>
                  <a:schemeClr val="tx1">
                    <a:lumMod val="50000"/>
                    <a:lumOff val="50000"/>
                  </a:schemeClr>
                </a:solidFill>
              </a:ln>
              <a:effectLst/>
            </c:spPr>
            <c:extLst>
              <c:ext xmlns:c16="http://schemas.microsoft.com/office/drawing/2014/chart" uri="{C3380CC4-5D6E-409C-BE32-E72D297353CC}">
                <c16:uniqueId val="{00000017-11C2-4B65-8F2B-13FDCC78C6C9}"/>
              </c:ext>
            </c:extLst>
          </c:dPt>
          <c:dPt>
            <c:idx val="12"/>
            <c:bubble3D val="0"/>
            <c:spPr>
              <a:solidFill>
                <a:srgbClr val="FEDA67"/>
              </a:solidFill>
              <a:ln w="9525">
                <a:solidFill>
                  <a:schemeClr val="tx1">
                    <a:lumMod val="50000"/>
                    <a:lumOff val="50000"/>
                  </a:schemeClr>
                </a:solidFill>
              </a:ln>
              <a:effectLst/>
            </c:spPr>
            <c:extLst>
              <c:ext xmlns:c16="http://schemas.microsoft.com/office/drawing/2014/chart" uri="{C3380CC4-5D6E-409C-BE32-E72D297353CC}">
                <c16:uniqueId val="{00000019-11C2-4B65-8F2B-13FDCC78C6C9}"/>
              </c:ext>
            </c:extLst>
          </c:dPt>
          <c:dPt>
            <c:idx val="13"/>
            <c:bubble3D val="0"/>
            <c:spPr>
              <a:solidFill>
                <a:srgbClr val="B99004"/>
              </a:solidFill>
              <a:ln w="9525">
                <a:solidFill>
                  <a:schemeClr val="tx1">
                    <a:lumMod val="50000"/>
                    <a:lumOff val="50000"/>
                  </a:schemeClr>
                </a:solidFill>
              </a:ln>
              <a:effectLst/>
            </c:spPr>
            <c:extLst>
              <c:ext xmlns:c16="http://schemas.microsoft.com/office/drawing/2014/chart" uri="{C3380CC4-5D6E-409C-BE32-E72D297353CC}">
                <c16:uniqueId val="{0000001B-11C2-4B65-8F2B-13FDCC78C6C9}"/>
              </c:ext>
            </c:extLst>
          </c:dPt>
          <c:dPt>
            <c:idx val="14"/>
            <c:bubble3D val="0"/>
            <c:spPr>
              <a:solidFill>
                <a:srgbClr val="826003"/>
              </a:solidFill>
              <a:ln w="9525">
                <a:solidFill>
                  <a:schemeClr val="tx1">
                    <a:lumMod val="50000"/>
                    <a:lumOff val="50000"/>
                  </a:schemeClr>
                </a:solidFill>
              </a:ln>
              <a:effectLst/>
            </c:spPr>
            <c:extLst>
              <c:ext xmlns:c16="http://schemas.microsoft.com/office/drawing/2014/chart" uri="{C3380CC4-5D6E-409C-BE32-E72D297353CC}">
                <c16:uniqueId val="{0000001D-11C2-4B65-8F2B-13FDCC78C6C9}"/>
              </c:ext>
            </c:extLst>
          </c:dPt>
          <c:dPt>
            <c:idx val="15"/>
            <c:bubble3D val="0"/>
            <c:spPr>
              <a:solidFill>
                <a:srgbClr val="F7CCAD"/>
              </a:solidFill>
              <a:ln w="9525">
                <a:solidFill>
                  <a:schemeClr val="tx1">
                    <a:lumMod val="50000"/>
                    <a:lumOff val="50000"/>
                  </a:schemeClr>
                </a:solidFill>
              </a:ln>
              <a:effectLst/>
            </c:spPr>
            <c:extLst>
              <c:ext xmlns:c16="http://schemas.microsoft.com/office/drawing/2014/chart" uri="{C3380CC4-5D6E-409C-BE32-E72D297353CC}">
                <c16:uniqueId val="{0000001F-11C2-4B65-8F2B-13FDCC78C6C9}"/>
              </c:ext>
            </c:extLst>
          </c:dPt>
          <c:dPt>
            <c:idx val="16"/>
            <c:bubble3D val="0"/>
            <c:spPr>
              <a:solidFill>
                <a:srgbClr val="F7AE85"/>
              </a:solidFill>
              <a:ln w="9525">
                <a:solidFill>
                  <a:schemeClr val="tx1">
                    <a:lumMod val="50000"/>
                    <a:lumOff val="50000"/>
                  </a:schemeClr>
                </a:solidFill>
              </a:ln>
              <a:effectLst/>
            </c:spPr>
            <c:extLst>
              <c:ext xmlns:c16="http://schemas.microsoft.com/office/drawing/2014/chart" uri="{C3380CC4-5D6E-409C-BE32-E72D297353CC}">
                <c16:uniqueId val="{00000021-11C2-4B65-8F2B-13FDCC78C6C9}"/>
              </c:ext>
            </c:extLst>
          </c:dPt>
          <c:dPt>
            <c:idx val="17"/>
            <c:bubble3D val="0"/>
            <c:spPr>
              <a:solidFill>
                <a:srgbClr val="EC7D30"/>
              </a:solidFill>
              <a:ln w="9525">
                <a:solidFill>
                  <a:schemeClr val="tx1">
                    <a:lumMod val="50000"/>
                    <a:lumOff val="50000"/>
                  </a:schemeClr>
                </a:solidFill>
              </a:ln>
              <a:effectLst/>
            </c:spPr>
            <c:extLst>
              <c:ext xmlns:c16="http://schemas.microsoft.com/office/drawing/2014/chart" uri="{C3380CC4-5D6E-409C-BE32-E72D297353CC}">
                <c16:uniqueId val="{00000023-11C2-4B65-8F2B-13FDCC78C6C9}"/>
              </c:ext>
            </c:extLst>
          </c:dPt>
          <c:dPt>
            <c:idx val="18"/>
            <c:bubble3D val="0"/>
            <c:spPr>
              <a:solidFill>
                <a:srgbClr val="C35A0D"/>
              </a:solidFill>
              <a:ln w="9525">
                <a:solidFill>
                  <a:schemeClr val="tx1">
                    <a:lumMod val="50000"/>
                    <a:lumOff val="50000"/>
                  </a:schemeClr>
                </a:solidFill>
              </a:ln>
              <a:effectLst/>
            </c:spPr>
            <c:extLst>
              <c:ext xmlns:c16="http://schemas.microsoft.com/office/drawing/2014/chart" uri="{C3380CC4-5D6E-409C-BE32-E72D297353CC}">
                <c16:uniqueId val="{00000025-11C2-4B65-8F2B-13FDCC78C6C9}"/>
              </c:ext>
            </c:extLst>
          </c:dPt>
          <c:dPt>
            <c:idx val="19"/>
            <c:bubble3D val="0"/>
            <c:spPr>
              <a:solidFill>
                <a:srgbClr val="803E0A"/>
              </a:solidFill>
              <a:ln w="9525">
                <a:solidFill>
                  <a:schemeClr val="tx1">
                    <a:lumMod val="50000"/>
                    <a:lumOff val="50000"/>
                  </a:schemeClr>
                </a:solidFill>
              </a:ln>
              <a:effectLst/>
            </c:spPr>
            <c:extLst>
              <c:ext xmlns:c16="http://schemas.microsoft.com/office/drawing/2014/chart" uri="{C3380CC4-5D6E-409C-BE32-E72D297353CC}">
                <c16:uniqueId val="{00000027-11C2-4B65-8F2B-13FDCC78C6C9}"/>
              </c:ext>
            </c:extLst>
          </c:dPt>
          <c:dPt>
            <c:idx val="20"/>
            <c:bubble3D val="0"/>
            <c:spPr>
              <a:solidFill>
                <a:srgbClr val="7A7A7A"/>
              </a:solidFill>
              <a:ln w="9525">
                <a:solidFill>
                  <a:schemeClr val="tx1">
                    <a:lumMod val="50000"/>
                    <a:lumOff val="50000"/>
                  </a:schemeClr>
                </a:solidFill>
              </a:ln>
              <a:effectLst/>
            </c:spPr>
            <c:extLst>
              <c:ext xmlns:c16="http://schemas.microsoft.com/office/drawing/2014/chart" uri="{C3380CC4-5D6E-409C-BE32-E72D297353CC}">
                <c16:uniqueId val="{00000028-3EA4-4DFE-AECE-F21FF7F8DB1C}"/>
              </c:ext>
            </c:extLst>
          </c:dPt>
          <c:dPt>
            <c:idx val="21"/>
            <c:bubble3D val="0"/>
            <c:spPr>
              <a:solidFill>
                <a:srgbClr val="FA60D5"/>
              </a:solidFill>
              <a:ln w="9525">
                <a:solidFill>
                  <a:schemeClr val="tx1">
                    <a:lumMod val="50000"/>
                    <a:lumOff val="50000"/>
                  </a:schemeClr>
                </a:solidFill>
              </a:ln>
              <a:effectLst/>
            </c:spPr>
            <c:extLst>
              <c:ext xmlns:c16="http://schemas.microsoft.com/office/drawing/2014/chart" uri="{C3380CC4-5D6E-409C-BE32-E72D297353CC}">
                <c16:uniqueId val="{00000029-3EA4-4DFE-AECE-F21FF7F8DB1C}"/>
              </c:ext>
            </c:extLst>
          </c:dPt>
          <c:cat>
            <c:strRef>
              <c:f>PieCharts1!$N$6:$N$27</c:f>
              <c:strCache>
                <c:ptCount val="22"/>
                <c:pt idx="0">
                  <c:v>PFBA</c:v>
                </c:pt>
                <c:pt idx="1">
                  <c:v>PFPeA</c:v>
                </c:pt>
                <c:pt idx="2">
                  <c:v>PFHxA</c:v>
                </c:pt>
                <c:pt idx="3">
                  <c:v>PFHpA</c:v>
                </c:pt>
                <c:pt idx="4">
                  <c:v>PFOA</c:v>
                </c:pt>
                <c:pt idx="5">
                  <c:v>PFNA</c:v>
                </c:pt>
                <c:pt idx="6">
                  <c:v>PFDA</c:v>
                </c:pt>
                <c:pt idx="7">
                  <c:v>PFUnDA</c:v>
                </c:pt>
                <c:pt idx="8">
                  <c:v>PFDoDA</c:v>
                </c:pt>
                <c:pt idx="9">
                  <c:v>PFTrDA</c:v>
                </c:pt>
                <c:pt idx="10">
                  <c:v>PFBS</c:v>
                </c:pt>
                <c:pt idx="11">
                  <c:v>PFPeS</c:v>
                </c:pt>
                <c:pt idx="12">
                  <c:v>PFHxS</c:v>
                </c:pt>
                <c:pt idx="13">
                  <c:v>PFHpS</c:v>
                </c:pt>
                <c:pt idx="14">
                  <c:v>PFOS</c:v>
                </c:pt>
                <c:pt idx="15">
                  <c:v>PFNS</c:v>
                </c:pt>
                <c:pt idx="16">
                  <c:v>PFDS</c:v>
                </c:pt>
                <c:pt idx="17">
                  <c:v>PFUnDS</c:v>
                </c:pt>
                <c:pt idx="18">
                  <c:v>PFDoDS</c:v>
                </c:pt>
                <c:pt idx="19">
                  <c:v>PFTrDS</c:v>
                </c:pt>
                <c:pt idx="20">
                  <c:v>6:2 FTS</c:v>
                </c:pt>
                <c:pt idx="21">
                  <c:v>PFOSA</c:v>
                </c:pt>
              </c:strCache>
            </c:strRef>
          </c:cat>
          <c:val>
            <c:numRef>
              <c:f>PieCharts1!$P$6:$P$27</c:f>
              <c:numCache>
                <c:formatCode>0.0E+00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2C-11C2-4B65-8F2B-13FDCC78C6C9}"/>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4.0440341107485372E-2"/>
          <c:y val="0.885502509883344"/>
          <c:w val="0.9169561406467116"/>
          <c:h val="9.8643370066939656E-2"/>
        </c:manualLayout>
      </c:layout>
      <c:overlay val="0"/>
      <c:spPr>
        <a:solidFill>
          <a:srgbClr val="D9D9D9">
            <a:alpha val="39000"/>
          </a:srgbClr>
        </a:solidFill>
        <a:ln>
          <a:solidFill>
            <a:srgbClr val="BFBFBF"/>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rgbClr val="BFBFBF"/>
      </a:solidFill>
      <a:round/>
    </a:ln>
    <a:effectLst/>
  </c:spPr>
  <c:txPr>
    <a:bodyPr/>
    <a:lstStyle/>
    <a:p>
      <a:pPr>
        <a:defRPr/>
      </a:pPr>
      <a:endParaRPr lang="da-D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PFPeA (C4)</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Følsomhedsanalyse!$H$31:$H$33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PFHxA (C5)</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Følsomhedsanalyse!$I$31:$I$33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PFPeS (C5)</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Følsomhedsanalyse!$J$31:$J$33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PFHpA (C6)</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Følsomhedsanalyse!$K$31:$K$33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rgbClr val="0070C0"/>
                </a:solidFill>
              </a:rPr>
              <a:t>PFOA (C7)</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Følsomhedsanalyse!$N$31:$N$33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PFNS (C9)</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Følsomhedsanalyse!$T$31:$T$33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PFHpS (C7)</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Følsomhedsanalyse!$O$31:$O$33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PFDS (C10)</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Følsomhedsanalyse!$U$31:$U$33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PFOSA (C8)</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Følsomhedsanalyse!$P$31:$P$33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PFUnDA (C10)</a:t>
            </a:r>
          </a:p>
        </c:rich>
      </c:tx>
      <c:layout>
        <c:manualLayout>
          <c:xMode val="edge"/>
          <c:yMode val="edge"/>
          <c:x val="0.22675784563189144"/>
          <c:y val="2.7159171075837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Følsomhedsanalyse!$V$31:$V$33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da-DK" sz="1800" b="1" i="0" u="none" strike="noStrike" kern="1200" spc="0" baseline="0">
                <a:solidFill>
                  <a:sysClr val="windowText" lastClr="000000">
                    <a:lumMod val="65000"/>
                    <a:lumOff val="35000"/>
                  </a:sysClr>
                </a:solidFill>
                <a:latin typeface="+mn-lt"/>
                <a:ea typeface="+mn-ea"/>
                <a:cs typeface="+mn-cs"/>
              </a:defRPr>
            </a:pPr>
            <a:r>
              <a:rPr lang="da-DK"/>
              <a:t>Koncentration - jord</a:t>
            </a:r>
          </a:p>
        </c:rich>
      </c:tx>
      <c:overlay val="0"/>
      <c:spPr>
        <a:noFill/>
        <a:ln>
          <a:noFill/>
        </a:ln>
        <a:effectLst/>
      </c:spPr>
      <c:txPr>
        <a:bodyPr rot="0" spcFirstLastPara="1" vertOverflow="ellipsis" vert="horz" wrap="square" anchor="ctr" anchorCtr="1"/>
        <a:lstStyle/>
        <a:p>
          <a:pPr>
            <a:defRPr lang="da-DK" sz="1800" b="1" i="0" u="none" strike="noStrike" kern="1200" spc="0" baseline="0">
              <a:solidFill>
                <a:sysClr val="windowText" lastClr="000000">
                  <a:lumMod val="65000"/>
                  <a:lumOff val="35000"/>
                </a:sysClr>
              </a:solidFill>
              <a:latin typeface="+mn-lt"/>
              <a:ea typeface="+mn-ea"/>
              <a:cs typeface="+mn-cs"/>
            </a:defRPr>
          </a:pPr>
          <a:endParaRPr lang="da-DK"/>
        </a:p>
      </c:txPr>
    </c:title>
    <c:autoTitleDeleted val="0"/>
    <c:plotArea>
      <c:layout>
        <c:manualLayout>
          <c:layoutTarget val="inner"/>
          <c:xMode val="edge"/>
          <c:yMode val="edge"/>
          <c:x val="0.19911210388011538"/>
          <c:y val="0.11287972661665463"/>
          <c:w val="0.59980149801381422"/>
          <c:h val="0.72831142749556199"/>
        </c:manualLayout>
      </c:layout>
      <c:pieChart>
        <c:varyColors val="1"/>
        <c:ser>
          <c:idx val="0"/>
          <c:order val="0"/>
          <c:spPr>
            <a:ln w="9525">
              <a:solidFill>
                <a:schemeClr val="tx1">
                  <a:lumMod val="50000"/>
                  <a:lumOff val="50000"/>
                </a:schemeClr>
              </a:solidFill>
            </a:ln>
          </c:spPr>
          <c:dPt>
            <c:idx val="0"/>
            <c:bubble3D val="0"/>
            <c:spPr>
              <a:solidFill>
                <a:srgbClr val="DCECF6"/>
              </a:solidFill>
              <a:ln w="9525">
                <a:solidFill>
                  <a:schemeClr val="tx1">
                    <a:lumMod val="50000"/>
                    <a:lumOff val="50000"/>
                  </a:schemeClr>
                </a:solidFill>
              </a:ln>
              <a:effectLst/>
            </c:spPr>
            <c:extLst>
              <c:ext xmlns:c16="http://schemas.microsoft.com/office/drawing/2014/chart" uri="{C3380CC4-5D6E-409C-BE32-E72D297353CC}">
                <c16:uniqueId val="{00000001-11C2-4B65-8F2B-13FDCC78C6C9}"/>
              </c:ext>
            </c:extLst>
          </c:dPt>
          <c:dPt>
            <c:idx val="1"/>
            <c:bubble3D val="0"/>
            <c:spPr>
              <a:solidFill>
                <a:srgbClr val="BBD7E9"/>
              </a:solidFill>
              <a:ln w="9525">
                <a:solidFill>
                  <a:schemeClr val="tx1">
                    <a:lumMod val="50000"/>
                    <a:lumOff val="50000"/>
                  </a:schemeClr>
                </a:solidFill>
              </a:ln>
              <a:effectLst/>
            </c:spPr>
            <c:extLst>
              <c:ext xmlns:c16="http://schemas.microsoft.com/office/drawing/2014/chart" uri="{C3380CC4-5D6E-409C-BE32-E72D297353CC}">
                <c16:uniqueId val="{00000003-11C2-4B65-8F2B-13FDCC78C6C9}"/>
              </c:ext>
            </c:extLst>
          </c:dPt>
          <c:dPt>
            <c:idx val="2"/>
            <c:bubble3D val="0"/>
            <c:spPr>
              <a:solidFill>
                <a:srgbClr val="9EC0E5"/>
              </a:solidFill>
              <a:ln w="9525">
                <a:solidFill>
                  <a:schemeClr val="tx1">
                    <a:lumMod val="50000"/>
                    <a:lumOff val="50000"/>
                  </a:schemeClr>
                </a:solidFill>
              </a:ln>
              <a:effectLst/>
            </c:spPr>
            <c:extLst>
              <c:ext xmlns:c16="http://schemas.microsoft.com/office/drawing/2014/chart" uri="{C3380CC4-5D6E-409C-BE32-E72D297353CC}">
                <c16:uniqueId val="{00000005-11C2-4B65-8F2B-13FDCC78C6C9}"/>
              </c:ext>
            </c:extLst>
          </c:dPt>
          <c:dPt>
            <c:idx val="3"/>
            <c:bubble3D val="0"/>
            <c:spPr>
              <a:solidFill>
                <a:srgbClr val="3272B6"/>
              </a:solidFill>
              <a:ln w="9525">
                <a:solidFill>
                  <a:schemeClr val="tx1">
                    <a:lumMod val="50000"/>
                    <a:lumOff val="50000"/>
                  </a:schemeClr>
                </a:solidFill>
              </a:ln>
              <a:effectLst/>
            </c:spPr>
            <c:extLst>
              <c:ext xmlns:c16="http://schemas.microsoft.com/office/drawing/2014/chart" uri="{C3380CC4-5D6E-409C-BE32-E72D297353CC}">
                <c16:uniqueId val="{00000007-11C2-4B65-8F2B-13FDCC78C6C9}"/>
              </c:ext>
            </c:extLst>
          </c:dPt>
          <c:dPt>
            <c:idx val="4"/>
            <c:bubble3D val="0"/>
            <c:spPr>
              <a:solidFill>
                <a:srgbClr val="204C75"/>
              </a:solidFill>
              <a:ln w="9525">
                <a:solidFill>
                  <a:schemeClr val="tx1">
                    <a:lumMod val="50000"/>
                    <a:lumOff val="50000"/>
                  </a:schemeClr>
                </a:solidFill>
              </a:ln>
              <a:effectLst/>
            </c:spPr>
            <c:extLst>
              <c:ext xmlns:c16="http://schemas.microsoft.com/office/drawing/2014/chart" uri="{C3380CC4-5D6E-409C-BE32-E72D297353CC}">
                <c16:uniqueId val="{00000009-11C2-4B65-8F2B-13FDCC78C6C9}"/>
              </c:ext>
            </c:extLst>
          </c:dPt>
          <c:dPt>
            <c:idx val="5"/>
            <c:bubble3D val="0"/>
            <c:spPr>
              <a:solidFill>
                <a:srgbClr val="E0EFD6"/>
              </a:solidFill>
              <a:ln w="9525">
                <a:solidFill>
                  <a:schemeClr val="tx1">
                    <a:lumMod val="50000"/>
                    <a:lumOff val="50000"/>
                  </a:schemeClr>
                </a:solidFill>
              </a:ln>
              <a:effectLst/>
            </c:spPr>
            <c:extLst>
              <c:ext xmlns:c16="http://schemas.microsoft.com/office/drawing/2014/chart" uri="{C3380CC4-5D6E-409C-BE32-E72D297353CC}">
                <c16:uniqueId val="{0000000B-11C2-4B65-8F2B-13FDCC78C6C9}"/>
              </c:ext>
            </c:extLst>
          </c:dPt>
          <c:dPt>
            <c:idx val="6"/>
            <c:bubble3D val="0"/>
            <c:spPr>
              <a:solidFill>
                <a:srgbClr val="C6DFB5"/>
              </a:solidFill>
              <a:ln w="9525">
                <a:solidFill>
                  <a:schemeClr val="tx1">
                    <a:lumMod val="50000"/>
                    <a:lumOff val="50000"/>
                  </a:schemeClr>
                </a:solidFill>
              </a:ln>
              <a:effectLst/>
            </c:spPr>
            <c:extLst>
              <c:ext xmlns:c16="http://schemas.microsoft.com/office/drawing/2014/chart" uri="{C3380CC4-5D6E-409C-BE32-E72D297353CC}">
                <c16:uniqueId val="{0000000D-11C2-4B65-8F2B-13FDCC78C6C9}"/>
              </c:ext>
            </c:extLst>
          </c:dPt>
          <c:dPt>
            <c:idx val="7"/>
            <c:bubble3D val="0"/>
            <c:spPr>
              <a:solidFill>
                <a:srgbClr val="A7CF8F"/>
              </a:solidFill>
              <a:ln w="9525">
                <a:solidFill>
                  <a:schemeClr val="tx1">
                    <a:lumMod val="50000"/>
                    <a:lumOff val="50000"/>
                  </a:schemeClr>
                </a:solidFill>
              </a:ln>
              <a:effectLst/>
            </c:spPr>
            <c:extLst>
              <c:ext xmlns:c16="http://schemas.microsoft.com/office/drawing/2014/chart" uri="{C3380CC4-5D6E-409C-BE32-E72D297353CC}">
                <c16:uniqueId val="{0000000F-11C2-4B65-8F2B-13FDCC78C6C9}"/>
              </c:ext>
            </c:extLst>
          </c:dPt>
          <c:dPt>
            <c:idx val="8"/>
            <c:bubble3D val="0"/>
            <c:spPr>
              <a:solidFill>
                <a:srgbClr val="70AA4C"/>
              </a:solidFill>
              <a:ln w="9525">
                <a:solidFill>
                  <a:schemeClr val="tx1">
                    <a:lumMod val="50000"/>
                    <a:lumOff val="50000"/>
                  </a:schemeClr>
                </a:solidFill>
              </a:ln>
              <a:effectLst/>
            </c:spPr>
            <c:extLst>
              <c:ext xmlns:c16="http://schemas.microsoft.com/office/drawing/2014/chart" uri="{C3380CC4-5D6E-409C-BE32-E72D297353CC}">
                <c16:uniqueId val="{00000011-11C2-4B65-8F2B-13FDCC78C6C9}"/>
              </c:ext>
            </c:extLst>
          </c:dPt>
          <c:dPt>
            <c:idx val="9"/>
            <c:bubble3D val="0"/>
            <c:spPr>
              <a:solidFill>
                <a:srgbClr val="538137"/>
              </a:solidFill>
              <a:ln w="9525">
                <a:solidFill>
                  <a:schemeClr val="tx1">
                    <a:lumMod val="50000"/>
                    <a:lumOff val="50000"/>
                  </a:schemeClr>
                </a:solidFill>
              </a:ln>
              <a:effectLst/>
            </c:spPr>
            <c:extLst>
              <c:ext xmlns:c16="http://schemas.microsoft.com/office/drawing/2014/chart" uri="{C3380CC4-5D6E-409C-BE32-E72D297353CC}">
                <c16:uniqueId val="{00000013-11C2-4B65-8F2B-13FDCC78C6C9}"/>
              </c:ext>
            </c:extLst>
          </c:dPt>
          <c:dPt>
            <c:idx val="10"/>
            <c:bubble3D val="0"/>
            <c:spPr>
              <a:solidFill>
                <a:srgbClr val="FDEFD0"/>
              </a:solidFill>
              <a:ln w="9525">
                <a:solidFill>
                  <a:schemeClr val="tx1">
                    <a:lumMod val="50000"/>
                    <a:lumOff val="50000"/>
                  </a:schemeClr>
                </a:solidFill>
              </a:ln>
              <a:effectLst/>
            </c:spPr>
            <c:extLst>
              <c:ext xmlns:c16="http://schemas.microsoft.com/office/drawing/2014/chart" uri="{C3380CC4-5D6E-409C-BE32-E72D297353CC}">
                <c16:uniqueId val="{00000015-11C2-4B65-8F2B-13FDCC78C6C9}"/>
              </c:ext>
            </c:extLst>
          </c:dPt>
          <c:dPt>
            <c:idx val="11"/>
            <c:bubble3D val="0"/>
            <c:spPr>
              <a:solidFill>
                <a:srgbClr val="FBE59B"/>
              </a:solidFill>
              <a:ln w="9525">
                <a:solidFill>
                  <a:schemeClr val="tx1">
                    <a:lumMod val="50000"/>
                    <a:lumOff val="50000"/>
                  </a:schemeClr>
                </a:solidFill>
              </a:ln>
              <a:effectLst/>
            </c:spPr>
            <c:extLst>
              <c:ext xmlns:c16="http://schemas.microsoft.com/office/drawing/2014/chart" uri="{C3380CC4-5D6E-409C-BE32-E72D297353CC}">
                <c16:uniqueId val="{00000017-11C2-4B65-8F2B-13FDCC78C6C9}"/>
              </c:ext>
            </c:extLst>
          </c:dPt>
          <c:dPt>
            <c:idx val="12"/>
            <c:bubble3D val="0"/>
            <c:spPr>
              <a:solidFill>
                <a:srgbClr val="FEDA67"/>
              </a:solidFill>
              <a:ln w="9525">
                <a:solidFill>
                  <a:schemeClr val="tx1">
                    <a:lumMod val="50000"/>
                    <a:lumOff val="50000"/>
                  </a:schemeClr>
                </a:solidFill>
              </a:ln>
              <a:effectLst/>
            </c:spPr>
            <c:extLst>
              <c:ext xmlns:c16="http://schemas.microsoft.com/office/drawing/2014/chart" uri="{C3380CC4-5D6E-409C-BE32-E72D297353CC}">
                <c16:uniqueId val="{00000019-11C2-4B65-8F2B-13FDCC78C6C9}"/>
              </c:ext>
            </c:extLst>
          </c:dPt>
          <c:dPt>
            <c:idx val="13"/>
            <c:bubble3D val="0"/>
            <c:spPr>
              <a:solidFill>
                <a:srgbClr val="B99004"/>
              </a:solidFill>
              <a:ln w="9525">
                <a:solidFill>
                  <a:schemeClr val="tx1">
                    <a:lumMod val="50000"/>
                    <a:lumOff val="50000"/>
                  </a:schemeClr>
                </a:solidFill>
              </a:ln>
              <a:effectLst/>
            </c:spPr>
            <c:extLst>
              <c:ext xmlns:c16="http://schemas.microsoft.com/office/drawing/2014/chart" uri="{C3380CC4-5D6E-409C-BE32-E72D297353CC}">
                <c16:uniqueId val="{0000001B-11C2-4B65-8F2B-13FDCC78C6C9}"/>
              </c:ext>
            </c:extLst>
          </c:dPt>
          <c:dPt>
            <c:idx val="14"/>
            <c:bubble3D val="0"/>
            <c:spPr>
              <a:solidFill>
                <a:srgbClr val="826003"/>
              </a:solidFill>
              <a:ln w="9525">
                <a:solidFill>
                  <a:schemeClr val="tx1">
                    <a:lumMod val="50000"/>
                    <a:lumOff val="50000"/>
                  </a:schemeClr>
                </a:solidFill>
              </a:ln>
              <a:effectLst/>
            </c:spPr>
            <c:extLst>
              <c:ext xmlns:c16="http://schemas.microsoft.com/office/drawing/2014/chart" uri="{C3380CC4-5D6E-409C-BE32-E72D297353CC}">
                <c16:uniqueId val="{0000001D-11C2-4B65-8F2B-13FDCC78C6C9}"/>
              </c:ext>
            </c:extLst>
          </c:dPt>
          <c:dPt>
            <c:idx val="15"/>
            <c:bubble3D val="0"/>
            <c:spPr>
              <a:solidFill>
                <a:srgbClr val="F7CCAD"/>
              </a:solidFill>
              <a:ln w="9525">
                <a:solidFill>
                  <a:schemeClr val="tx1">
                    <a:lumMod val="50000"/>
                    <a:lumOff val="50000"/>
                  </a:schemeClr>
                </a:solidFill>
              </a:ln>
              <a:effectLst/>
            </c:spPr>
            <c:extLst>
              <c:ext xmlns:c16="http://schemas.microsoft.com/office/drawing/2014/chart" uri="{C3380CC4-5D6E-409C-BE32-E72D297353CC}">
                <c16:uniqueId val="{0000001F-11C2-4B65-8F2B-13FDCC78C6C9}"/>
              </c:ext>
            </c:extLst>
          </c:dPt>
          <c:dPt>
            <c:idx val="16"/>
            <c:bubble3D val="0"/>
            <c:spPr>
              <a:solidFill>
                <a:srgbClr val="F7AE85"/>
              </a:solidFill>
              <a:ln w="9525">
                <a:solidFill>
                  <a:schemeClr val="tx1">
                    <a:lumMod val="50000"/>
                    <a:lumOff val="50000"/>
                  </a:schemeClr>
                </a:solidFill>
              </a:ln>
              <a:effectLst/>
            </c:spPr>
            <c:extLst>
              <c:ext xmlns:c16="http://schemas.microsoft.com/office/drawing/2014/chart" uri="{C3380CC4-5D6E-409C-BE32-E72D297353CC}">
                <c16:uniqueId val="{00000021-11C2-4B65-8F2B-13FDCC78C6C9}"/>
              </c:ext>
            </c:extLst>
          </c:dPt>
          <c:dPt>
            <c:idx val="17"/>
            <c:bubble3D val="0"/>
            <c:spPr>
              <a:solidFill>
                <a:srgbClr val="EC7D30"/>
              </a:solidFill>
              <a:ln w="9525">
                <a:solidFill>
                  <a:schemeClr val="tx1">
                    <a:lumMod val="50000"/>
                    <a:lumOff val="50000"/>
                  </a:schemeClr>
                </a:solidFill>
              </a:ln>
              <a:effectLst/>
            </c:spPr>
            <c:extLst>
              <c:ext xmlns:c16="http://schemas.microsoft.com/office/drawing/2014/chart" uri="{C3380CC4-5D6E-409C-BE32-E72D297353CC}">
                <c16:uniqueId val="{00000023-11C2-4B65-8F2B-13FDCC78C6C9}"/>
              </c:ext>
            </c:extLst>
          </c:dPt>
          <c:dPt>
            <c:idx val="18"/>
            <c:bubble3D val="0"/>
            <c:spPr>
              <a:solidFill>
                <a:srgbClr val="C35A0D"/>
              </a:solidFill>
              <a:ln w="9525">
                <a:solidFill>
                  <a:schemeClr val="tx1">
                    <a:lumMod val="50000"/>
                    <a:lumOff val="50000"/>
                  </a:schemeClr>
                </a:solidFill>
              </a:ln>
              <a:effectLst/>
            </c:spPr>
            <c:extLst>
              <c:ext xmlns:c16="http://schemas.microsoft.com/office/drawing/2014/chart" uri="{C3380CC4-5D6E-409C-BE32-E72D297353CC}">
                <c16:uniqueId val="{00000025-11C2-4B65-8F2B-13FDCC78C6C9}"/>
              </c:ext>
            </c:extLst>
          </c:dPt>
          <c:dPt>
            <c:idx val="19"/>
            <c:bubble3D val="0"/>
            <c:spPr>
              <a:solidFill>
                <a:srgbClr val="803E0A"/>
              </a:solidFill>
              <a:ln w="9525">
                <a:solidFill>
                  <a:schemeClr val="tx1">
                    <a:lumMod val="50000"/>
                    <a:lumOff val="50000"/>
                  </a:schemeClr>
                </a:solidFill>
              </a:ln>
              <a:effectLst/>
            </c:spPr>
            <c:extLst>
              <c:ext xmlns:c16="http://schemas.microsoft.com/office/drawing/2014/chart" uri="{C3380CC4-5D6E-409C-BE32-E72D297353CC}">
                <c16:uniqueId val="{00000027-11C2-4B65-8F2B-13FDCC78C6C9}"/>
              </c:ext>
            </c:extLst>
          </c:dPt>
          <c:dPt>
            <c:idx val="20"/>
            <c:bubble3D val="0"/>
            <c:spPr>
              <a:solidFill>
                <a:srgbClr val="7A7A7A"/>
              </a:solidFill>
              <a:ln w="9525">
                <a:solidFill>
                  <a:schemeClr val="tx1">
                    <a:lumMod val="50000"/>
                    <a:lumOff val="50000"/>
                  </a:schemeClr>
                </a:solidFill>
              </a:ln>
              <a:effectLst/>
            </c:spPr>
            <c:extLst>
              <c:ext xmlns:c16="http://schemas.microsoft.com/office/drawing/2014/chart" uri="{C3380CC4-5D6E-409C-BE32-E72D297353CC}">
                <c16:uniqueId val="{00000028-BBF6-4E56-8F23-F4E6D8D877F6}"/>
              </c:ext>
            </c:extLst>
          </c:dPt>
          <c:dPt>
            <c:idx val="21"/>
            <c:bubble3D val="0"/>
            <c:spPr>
              <a:solidFill>
                <a:srgbClr val="FA60D5"/>
              </a:solidFill>
              <a:ln w="9525">
                <a:solidFill>
                  <a:schemeClr val="tx1">
                    <a:lumMod val="50000"/>
                    <a:lumOff val="50000"/>
                  </a:schemeClr>
                </a:solidFill>
              </a:ln>
              <a:effectLst/>
            </c:spPr>
            <c:extLst>
              <c:ext xmlns:c16="http://schemas.microsoft.com/office/drawing/2014/chart" uri="{C3380CC4-5D6E-409C-BE32-E72D297353CC}">
                <c16:uniqueId val="{00000029-BBF6-4E56-8F23-F4E6D8D877F6}"/>
              </c:ext>
            </c:extLst>
          </c:dPt>
          <c:cat>
            <c:strRef>
              <c:f>PieCharts1!$N$39:$N$60</c:f>
              <c:strCache>
                <c:ptCount val="22"/>
                <c:pt idx="0">
                  <c:v>PFBA</c:v>
                </c:pt>
                <c:pt idx="1">
                  <c:v>PFPeA</c:v>
                </c:pt>
                <c:pt idx="2">
                  <c:v>PFHxA</c:v>
                </c:pt>
                <c:pt idx="3">
                  <c:v>PFHpA</c:v>
                </c:pt>
                <c:pt idx="4">
                  <c:v>PFOA</c:v>
                </c:pt>
                <c:pt idx="5">
                  <c:v>PFNA</c:v>
                </c:pt>
                <c:pt idx="6">
                  <c:v>PFDA</c:v>
                </c:pt>
                <c:pt idx="7">
                  <c:v>PFUnDA</c:v>
                </c:pt>
                <c:pt idx="8">
                  <c:v>PFDoDA</c:v>
                </c:pt>
                <c:pt idx="9">
                  <c:v>PFTrDA</c:v>
                </c:pt>
                <c:pt idx="10">
                  <c:v>PFBS</c:v>
                </c:pt>
                <c:pt idx="11">
                  <c:v>PFPeS</c:v>
                </c:pt>
                <c:pt idx="12">
                  <c:v>PFHxS</c:v>
                </c:pt>
                <c:pt idx="13">
                  <c:v>PFHpS</c:v>
                </c:pt>
                <c:pt idx="14">
                  <c:v>PFOS</c:v>
                </c:pt>
                <c:pt idx="15">
                  <c:v>PFNS</c:v>
                </c:pt>
                <c:pt idx="16">
                  <c:v>PFDS</c:v>
                </c:pt>
                <c:pt idx="17">
                  <c:v>PFUnDS</c:v>
                </c:pt>
                <c:pt idx="18">
                  <c:v>PFDoDS</c:v>
                </c:pt>
                <c:pt idx="19">
                  <c:v>PFTrDS</c:v>
                </c:pt>
                <c:pt idx="20">
                  <c:v>6:2 FTS</c:v>
                </c:pt>
                <c:pt idx="21">
                  <c:v>PFOSA</c:v>
                </c:pt>
              </c:strCache>
            </c:strRef>
          </c:cat>
          <c:val>
            <c:numRef>
              <c:f>PieCharts1!$P$39:$P$60</c:f>
              <c:numCache>
                <c:formatCode>0.0E+00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2C-11C2-4B65-8F2B-13FDCC78C6C9}"/>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4.0440341107485372E-2"/>
          <c:y val="0.885502509883344"/>
          <c:w val="0.9169561406467116"/>
          <c:h val="9.8643370066939656E-2"/>
        </c:manualLayout>
      </c:layout>
      <c:overlay val="0"/>
      <c:spPr>
        <a:solidFill>
          <a:srgbClr val="D9D9D9">
            <a:alpha val="39000"/>
          </a:srgbClr>
        </a:solidFill>
        <a:ln>
          <a:solidFill>
            <a:srgbClr val="BFBFBF"/>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rgbClr val="BFBFBF"/>
      </a:solidFill>
      <a:round/>
    </a:ln>
    <a:effectLst/>
  </c:spPr>
  <c:txPr>
    <a:bodyPr/>
    <a:lstStyle/>
    <a:p>
      <a:pPr>
        <a:defRPr/>
      </a:pPr>
      <a:endParaRPr lang="da-D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rgbClr val="0070C0"/>
                </a:solidFill>
                <a:latin typeface="+mn-lt"/>
                <a:ea typeface="+mn-ea"/>
                <a:cs typeface="+mn-cs"/>
              </a:defRPr>
            </a:pPr>
            <a:r>
              <a:rPr lang="da-DK">
                <a:solidFill>
                  <a:srgbClr val="0070C0"/>
                </a:solidFill>
              </a:rPr>
              <a:t>PFNA (C8)</a:t>
            </a:r>
          </a:p>
        </c:rich>
      </c:tx>
      <c:layout>
        <c:manualLayout>
          <c:xMode val="edge"/>
          <c:yMode val="edge"/>
          <c:x val="0.29138888888888886"/>
          <c:y val="3.8358465608465606E-2"/>
        </c:manualLayout>
      </c:layout>
      <c:overlay val="0"/>
      <c:spPr>
        <a:noFill/>
        <a:ln>
          <a:noFill/>
        </a:ln>
        <a:effectLst/>
      </c:spPr>
      <c:txPr>
        <a:bodyPr rot="0" spcFirstLastPara="1" vertOverflow="ellipsis" vert="horz" wrap="square" anchor="ctr" anchorCtr="1"/>
        <a:lstStyle/>
        <a:p>
          <a:pPr>
            <a:defRPr sz="1800" b="1" i="0" u="none" strike="noStrike" kern="1200" baseline="0">
              <a:solidFill>
                <a:srgbClr val="0070C0"/>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Følsomhedsanalyse!$Q$31:$Q$33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PFDoDA (C11)</a:t>
            </a:r>
          </a:p>
        </c:rich>
      </c:tx>
      <c:layout>
        <c:manualLayout>
          <c:xMode val="edge"/>
          <c:yMode val="edge"/>
          <c:x val="0.21598600508905852"/>
          <c:y val="2.7159171075837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Følsomhedsanalyse!$W$31:$W$33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PFUnDS (C11)</a:t>
            </a:r>
          </a:p>
        </c:rich>
      </c:tx>
      <c:layout>
        <c:manualLayout>
          <c:xMode val="edge"/>
          <c:yMode val="edge"/>
          <c:x val="0.21598600508905852"/>
          <c:y val="2.7159171075837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A2-4030-B98E-6CC655DFF7C0}"/>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A2-4030-B98E-6CC655DFF7C0}"/>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A2-4030-B98E-6CC655DFF7C0}"/>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A2-4030-B98E-6CC655DFF7C0}"/>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Følsomhedsanalyse!$X$31:$X$33</c:f>
              <c:numCache>
                <c:formatCode>0.0%</c:formatCode>
                <c:ptCount val="3"/>
                <c:pt idx="0">
                  <c:v>0</c:v>
                </c:pt>
                <c:pt idx="1">
                  <c:v>0</c:v>
                </c:pt>
                <c:pt idx="2">
                  <c:v>0</c:v>
                </c:pt>
              </c:numCache>
            </c:numRef>
          </c:val>
          <c:extLst>
            <c:ext xmlns:c16="http://schemas.microsoft.com/office/drawing/2014/chart" uri="{C3380CC4-5D6E-409C-BE32-E72D297353CC}">
              <c16:uniqueId val="{00000006-A2A2-4030-B98E-6CC655DFF7C0}"/>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PFDoDS (C12)</a:t>
            </a:r>
          </a:p>
        </c:rich>
      </c:tx>
      <c:layout>
        <c:manualLayout>
          <c:xMode val="edge"/>
          <c:yMode val="edge"/>
          <c:x val="0.20521416454622562"/>
          <c:y val="2.7159171075837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8290-48FF-9776-C5C821AE01C8}"/>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290-48FF-9776-C5C821AE01C8}"/>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8290-48FF-9776-C5C821AE01C8}"/>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290-48FF-9776-C5C821AE01C8}"/>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Følsomhedsanalyse!$Y$31:$Y$33</c:f>
              <c:numCache>
                <c:formatCode>0.0%</c:formatCode>
                <c:ptCount val="3"/>
                <c:pt idx="0">
                  <c:v>0</c:v>
                </c:pt>
                <c:pt idx="1">
                  <c:v>0</c:v>
                </c:pt>
                <c:pt idx="2">
                  <c:v>0</c:v>
                </c:pt>
              </c:numCache>
            </c:numRef>
          </c:val>
          <c:extLst>
            <c:ext xmlns:c16="http://schemas.microsoft.com/office/drawing/2014/chart" uri="{C3380CC4-5D6E-409C-BE32-E72D297353CC}">
              <c16:uniqueId val="{00000006-8290-48FF-9776-C5C821AE01C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PFTrDA (C12)</a:t>
            </a:r>
          </a:p>
        </c:rich>
      </c:tx>
      <c:layout>
        <c:manualLayout>
          <c:xMode val="edge"/>
          <c:yMode val="edge"/>
          <c:x val="0.2429156064461408"/>
          <c:y val="2.7159171075837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FE6-42ED-8CED-126B9F556219}"/>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FE6-42ED-8CED-126B9F556219}"/>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FE6-42ED-8CED-126B9F556219}"/>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FE6-42ED-8CED-126B9F556219}"/>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Følsomhedsanalyse!$Z$31:$Z$33</c:f>
              <c:numCache>
                <c:formatCode>0.0%</c:formatCode>
                <c:ptCount val="3"/>
                <c:pt idx="0">
                  <c:v>0</c:v>
                </c:pt>
                <c:pt idx="1">
                  <c:v>0</c:v>
                </c:pt>
                <c:pt idx="2">
                  <c:v>0</c:v>
                </c:pt>
              </c:numCache>
            </c:numRef>
          </c:val>
          <c:extLst>
            <c:ext xmlns:c16="http://schemas.microsoft.com/office/drawing/2014/chart" uri="{C3380CC4-5D6E-409C-BE32-E72D297353CC}">
              <c16:uniqueId val="{00000006-3FE6-42ED-8CED-126B9F556219}"/>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PFTrDS (C13)</a:t>
            </a:r>
          </a:p>
        </c:rich>
      </c:tx>
      <c:layout>
        <c:manualLayout>
          <c:xMode val="edge"/>
          <c:yMode val="edge"/>
          <c:x val="0.22675784563189144"/>
          <c:y val="2.7159171075837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0A0D-4FBC-8C20-1C673D90C08D}"/>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A0D-4FBC-8C20-1C673D90C08D}"/>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A0D-4FBC-8C20-1C673D90C08D}"/>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A0D-4FBC-8C20-1C673D90C08D}"/>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Følsomhedsanalyse!$AA$31:$AA$33</c:f>
              <c:numCache>
                <c:formatCode>0.0%</c:formatCode>
                <c:ptCount val="3"/>
                <c:pt idx="0">
                  <c:v>0</c:v>
                </c:pt>
                <c:pt idx="1">
                  <c:v>0</c:v>
                </c:pt>
                <c:pt idx="2">
                  <c:v>0</c:v>
                </c:pt>
              </c:numCache>
            </c:numRef>
          </c:val>
          <c:extLst>
            <c:ext xmlns:c16="http://schemas.microsoft.com/office/drawing/2014/chart" uri="{C3380CC4-5D6E-409C-BE32-E72D297353CC}">
              <c16:uniqueId val="{00000006-0A0D-4FBC-8C20-1C673D90C08D}"/>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85926741780803"/>
          <c:y val="4.0127684741742303E-2"/>
          <c:w val="0.77960059398038317"/>
          <c:h val="0.78926301499948148"/>
        </c:manualLayout>
      </c:layout>
      <c:scatterChart>
        <c:scatterStyle val="lineMarker"/>
        <c:varyColors val="0"/>
        <c:ser>
          <c:idx val="0"/>
          <c:order val="0"/>
          <c:spPr>
            <a:ln w="25400" cap="rnd">
              <a:solidFill>
                <a:schemeClr val="tx1"/>
              </a:solidFill>
              <a:round/>
            </a:ln>
            <a:effectLst/>
          </c:spPr>
          <c:marker>
            <c:symbol val="circle"/>
            <c:size val="5"/>
            <c:spPr>
              <a:solidFill>
                <a:schemeClr val="tx1"/>
              </a:solidFill>
              <a:ln w="9525">
                <a:solidFill>
                  <a:schemeClr val="accent1"/>
                </a:solidFill>
              </a:ln>
              <a:effectLst/>
            </c:spPr>
          </c:marker>
          <c:xVal>
            <c:numRef>
              <c:f>'Kia og Kd'!$D$3:$Y$3</c:f>
              <c:numCache>
                <c:formatCode>General</c:formatCode>
                <c:ptCount val="22"/>
                <c:pt idx="0">
                  <c:v>127</c:v>
                </c:pt>
                <c:pt idx="1">
                  <c:v>162</c:v>
                </c:pt>
                <c:pt idx="2">
                  <c:v>155</c:v>
                </c:pt>
                <c:pt idx="3">
                  <c:v>182</c:v>
                </c:pt>
                <c:pt idx="4">
                  <c:v>190</c:v>
                </c:pt>
                <c:pt idx="5">
                  <c:v>210</c:v>
                </c:pt>
                <c:pt idx="6">
                  <c:v>217</c:v>
                </c:pt>
                <c:pt idx="7">
                  <c:v>250</c:v>
                </c:pt>
                <c:pt idx="8">
                  <c:v>237</c:v>
                </c:pt>
                <c:pt idx="9">
                  <c:v>245</c:v>
                </c:pt>
                <c:pt idx="10">
                  <c:v>278</c:v>
                </c:pt>
                <c:pt idx="11">
                  <c:v>265</c:v>
                </c:pt>
                <c:pt idx="12">
                  <c:v>272</c:v>
                </c:pt>
                <c:pt idx="13">
                  <c:v>292</c:v>
                </c:pt>
                <c:pt idx="14">
                  <c:v>300</c:v>
                </c:pt>
                <c:pt idx="15">
                  <c:v>327</c:v>
                </c:pt>
                <c:pt idx="16">
                  <c:v>320</c:v>
                </c:pt>
                <c:pt idx="17">
                  <c:v>347</c:v>
                </c:pt>
                <c:pt idx="18">
                  <c:v>354</c:v>
                </c:pt>
                <c:pt idx="19">
                  <c:v>382</c:v>
                </c:pt>
                <c:pt idx="20">
                  <c:v>375</c:v>
                </c:pt>
                <c:pt idx="21">
                  <c:v>409</c:v>
                </c:pt>
              </c:numCache>
            </c:numRef>
          </c:xVal>
          <c:yVal>
            <c:numRef>
              <c:f>'Kia og Kd'!$D$5:$Y$5</c:f>
              <c:numCache>
                <c:formatCode>0.00E+00</c:formatCode>
                <c:ptCount val="22"/>
                <c:pt idx="0">
                  <c:v>2.0558905959841433E-5</c:v>
                </c:pt>
                <c:pt idx="1">
                  <c:v>9.506047936562795E-5</c:v>
                </c:pt>
                <c:pt idx="2">
                  <c:v>6.9984199600227391E-5</c:v>
                </c:pt>
                <c:pt idx="3">
                  <c:v>2.2803420720004172E-4</c:v>
                </c:pt>
                <c:pt idx="4">
                  <c:v>3.235936569296281E-4</c:v>
                </c:pt>
                <c:pt idx="5">
                  <c:v>7.7624711662869128E-4</c:v>
                </c:pt>
                <c:pt idx="6">
                  <c:v>1.0543868963912592E-3</c:v>
                </c:pt>
                <c:pt idx="7">
                  <c:v>4.4668359215096322E-3</c:v>
                </c:pt>
                <c:pt idx="8">
                  <c:v>2.5292979964461454E-3</c:v>
                </c:pt>
                <c:pt idx="9">
                  <c:v>3.589219346450056E-3</c:v>
                </c:pt>
                <c:pt idx="10">
                  <c:v>1.5205475297324958E-2</c:v>
                </c:pt>
                <c:pt idx="11">
                  <c:v>8.6099375218460159E-3</c:v>
                </c:pt>
                <c:pt idx="12">
                  <c:v>1.1694993910198723E-2</c:v>
                </c:pt>
                <c:pt idx="13">
                  <c:v>2.805433637951715E-2</c:v>
                </c:pt>
                <c:pt idx="14">
                  <c:v>3.9810717055349762E-2</c:v>
                </c:pt>
                <c:pt idx="15">
                  <c:v>0.12971792709839572</c:v>
                </c:pt>
                <c:pt idx="16">
                  <c:v>9.5499258602143686E-2</c:v>
                </c:pt>
                <c:pt idx="17">
                  <c:v>0.31117163371060197</c:v>
                </c:pt>
                <c:pt idx="18">
                  <c:v>0.42266861426560326</c:v>
                </c:pt>
                <c:pt idx="19">
                  <c:v>1.4387985782558466</c:v>
                </c:pt>
                <c:pt idx="20">
                  <c:v>1.0592537251772898</c:v>
                </c:pt>
                <c:pt idx="21">
                  <c:v>4.6881338214526558</c:v>
                </c:pt>
              </c:numCache>
            </c:numRef>
          </c:yVal>
          <c:smooth val="0"/>
          <c:extLst>
            <c:ext xmlns:c16="http://schemas.microsoft.com/office/drawing/2014/chart" uri="{C3380CC4-5D6E-409C-BE32-E72D297353CC}">
              <c16:uniqueId val="{00000000-CE24-48C8-853B-AAFECF6B2EFE}"/>
            </c:ext>
          </c:extLst>
        </c:ser>
        <c:ser>
          <c:idx val="1"/>
          <c:order val="1"/>
          <c:spPr>
            <a:ln w="25400" cap="rnd">
              <a:solidFill>
                <a:srgbClr val="FF0000"/>
              </a:solidFill>
              <a:round/>
            </a:ln>
            <a:effectLst/>
          </c:spPr>
          <c:marker>
            <c:symbol val="circle"/>
            <c:size val="5"/>
            <c:spPr>
              <a:solidFill>
                <a:srgbClr val="FF0000"/>
              </a:solidFill>
              <a:ln w="9525">
                <a:solidFill>
                  <a:srgbClr val="FF0000"/>
                </a:solidFill>
              </a:ln>
              <a:effectLst/>
            </c:spPr>
          </c:marker>
          <c:xVal>
            <c:numRef>
              <c:f>'Kia og Kd'!$D$3:$Y$3</c:f>
              <c:numCache>
                <c:formatCode>General</c:formatCode>
                <c:ptCount val="22"/>
                <c:pt idx="0">
                  <c:v>127</c:v>
                </c:pt>
                <c:pt idx="1">
                  <c:v>162</c:v>
                </c:pt>
                <c:pt idx="2">
                  <c:v>155</c:v>
                </c:pt>
                <c:pt idx="3">
                  <c:v>182</c:v>
                </c:pt>
                <c:pt idx="4">
                  <c:v>190</c:v>
                </c:pt>
                <c:pt idx="5">
                  <c:v>210</c:v>
                </c:pt>
                <c:pt idx="6">
                  <c:v>217</c:v>
                </c:pt>
                <c:pt idx="7">
                  <c:v>250</c:v>
                </c:pt>
                <c:pt idx="8">
                  <c:v>237</c:v>
                </c:pt>
                <c:pt idx="9">
                  <c:v>245</c:v>
                </c:pt>
                <c:pt idx="10">
                  <c:v>278</c:v>
                </c:pt>
                <c:pt idx="11">
                  <c:v>265</c:v>
                </c:pt>
                <c:pt idx="12">
                  <c:v>272</c:v>
                </c:pt>
                <c:pt idx="13">
                  <c:v>292</c:v>
                </c:pt>
                <c:pt idx="14">
                  <c:v>300</c:v>
                </c:pt>
                <c:pt idx="15">
                  <c:v>327</c:v>
                </c:pt>
                <c:pt idx="16">
                  <c:v>320</c:v>
                </c:pt>
                <c:pt idx="17">
                  <c:v>347</c:v>
                </c:pt>
                <c:pt idx="18">
                  <c:v>354</c:v>
                </c:pt>
                <c:pt idx="19">
                  <c:v>382</c:v>
                </c:pt>
                <c:pt idx="20">
                  <c:v>375</c:v>
                </c:pt>
                <c:pt idx="21">
                  <c:v>409</c:v>
                </c:pt>
              </c:numCache>
            </c:numRef>
          </c:xVal>
          <c:yVal>
            <c:numRef>
              <c:f>'Kia og Kd'!$D$6:$Y$6</c:f>
              <c:numCache>
                <c:formatCode>0.00E+00</c:formatCode>
                <c:ptCount val="22"/>
                <c:pt idx="0">
                  <c:v>1.0399201658290596E-4</c:v>
                </c:pt>
                <c:pt idx="1">
                  <c:v>5.6493697481230275E-4</c:v>
                </c:pt>
                <c:pt idx="2">
                  <c:v>4.027170343254596E-4</c:v>
                </c:pt>
                <c:pt idx="3">
                  <c:v>1.4859356422870082E-3</c:v>
                </c:pt>
                <c:pt idx="4">
                  <c:v>2.187761623949556E-3</c:v>
                </c:pt>
                <c:pt idx="5">
                  <c:v>5.7543993733715744E-3</c:v>
                </c:pt>
                <c:pt idx="6">
                  <c:v>8.0723503024883961E-3</c:v>
                </c:pt>
                <c:pt idx="7">
                  <c:v>3.9810717055349762E-2</c:v>
                </c:pt>
                <c:pt idx="8">
                  <c:v>2.1232444620002223E-2</c:v>
                </c:pt>
                <c:pt idx="9">
                  <c:v>3.1260793671239608E-2</c:v>
                </c:pt>
                <c:pt idx="10">
                  <c:v>0.15417004529495612</c:v>
                </c:pt>
                <c:pt idx="11">
                  <c:v>8.2224264994707266E-2</c:v>
                </c:pt>
                <c:pt idx="12">
                  <c:v>0.11534532578210949</c:v>
                </c:pt>
                <c:pt idx="13">
                  <c:v>0.30338911841942773</c:v>
                </c:pt>
                <c:pt idx="14">
                  <c:v>0.44668359215096437</c:v>
                </c:pt>
                <c:pt idx="15">
                  <c:v>1.6481623915255101</c:v>
                </c:pt>
                <c:pt idx="16">
                  <c:v>1.1748975549395326</c:v>
                </c:pt>
                <c:pt idx="17">
                  <c:v>4.3351087838753033</c:v>
                </c:pt>
                <c:pt idx="18">
                  <c:v>6.0813500127871896</c:v>
                </c:pt>
                <c:pt idx="19">
                  <c:v>23.550492838960146</c:v>
                </c:pt>
                <c:pt idx="20">
                  <c:v>16.788040181225661</c:v>
                </c:pt>
                <c:pt idx="21">
                  <c:v>86.896042928630436</c:v>
                </c:pt>
              </c:numCache>
            </c:numRef>
          </c:yVal>
          <c:smooth val="0"/>
          <c:extLst>
            <c:ext xmlns:c16="http://schemas.microsoft.com/office/drawing/2014/chart" uri="{C3380CC4-5D6E-409C-BE32-E72D297353CC}">
              <c16:uniqueId val="{00000001-CE24-48C8-853B-AAFECF6B2EFE}"/>
            </c:ext>
          </c:extLst>
        </c:ser>
        <c:ser>
          <c:idx val="2"/>
          <c:order val="2"/>
          <c:spPr>
            <a:ln w="25400" cap="rnd">
              <a:solidFill>
                <a:srgbClr val="0070C0"/>
              </a:solidFill>
              <a:round/>
            </a:ln>
            <a:effectLst/>
          </c:spPr>
          <c:marker>
            <c:symbol val="circle"/>
            <c:size val="5"/>
            <c:spPr>
              <a:solidFill>
                <a:srgbClr val="0070C0"/>
              </a:solidFill>
              <a:ln w="9525">
                <a:solidFill>
                  <a:srgbClr val="0070C0"/>
                </a:solidFill>
              </a:ln>
              <a:effectLst/>
            </c:spPr>
          </c:marker>
          <c:xVal>
            <c:numRef>
              <c:f>'Kia og Kd'!$D$3:$Y$3</c:f>
              <c:numCache>
                <c:formatCode>General</c:formatCode>
                <c:ptCount val="22"/>
                <c:pt idx="0">
                  <c:v>127</c:v>
                </c:pt>
                <c:pt idx="1">
                  <c:v>162</c:v>
                </c:pt>
                <c:pt idx="2">
                  <c:v>155</c:v>
                </c:pt>
                <c:pt idx="3">
                  <c:v>182</c:v>
                </c:pt>
                <c:pt idx="4">
                  <c:v>190</c:v>
                </c:pt>
                <c:pt idx="5">
                  <c:v>210</c:v>
                </c:pt>
                <c:pt idx="6">
                  <c:v>217</c:v>
                </c:pt>
                <c:pt idx="7">
                  <c:v>250</c:v>
                </c:pt>
                <c:pt idx="8">
                  <c:v>237</c:v>
                </c:pt>
                <c:pt idx="9">
                  <c:v>245</c:v>
                </c:pt>
                <c:pt idx="10">
                  <c:v>278</c:v>
                </c:pt>
                <c:pt idx="11">
                  <c:v>265</c:v>
                </c:pt>
                <c:pt idx="12">
                  <c:v>272</c:v>
                </c:pt>
                <c:pt idx="13">
                  <c:v>292</c:v>
                </c:pt>
                <c:pt idx="14">
                  <c:v>300</c:v>
                </c:pt>
                <c:pt idx="15">
                  <c:v>327</c:v>
                </c:pt>
                <c:pt idx="16">
                  <c:v>320</c:v>
                </c:pt>
                <c:pt idx="17">
                  <c:v>347</c:v>
                </c:pt>
                <c:pt idx="18">
                  <c:v>354</c:v>
                </c:pt>
                <c:pt idx="19">
                  <c:v>382</c:v>
                </c:pt>
                <c:pt idx="20">
                  <c:v>375</c:v>
                </c:pt>
                <c:pt idx="21">
                  <c:v>409</c:v>
                </c:pt>
              </c:numCache>
            </c:numRef>
          </c:xVal>
          <c:yVal>
            <c:numRef>
              <c:f>'Kia og Kd'!$D$7:$Y$7</c:f>
              <c:numCache>
                <c:formatCode>0.00E+00</c:formatCode>
                <c:ptCount val="22"/>
                <c:pt idx="0">
                  <c:v>4.0644332916521249E-6</c:v>
                </c:pt>
                <c:pt idx="1">
                  <c:v>1.5995580286146698E-5</c:v>
                </c:pt>
                <c:pt idx="2">
                  <c:v>1.216186000646369E-5</c:v>
                </c:pt>
                <c:pt idx="3">
                  <c:v>3.4994516702835761E-5</c:v>
                </c:pt>
                <c:pt idx="4">
                  <c:v>4.7863009232263851E-5</c:v>
                </c:pt>
                <c:pt idx="5">
                  <c:v>1.0471285480509003E-4</c:v>
                </c:pt>
                <c:pt idx="6">
                  <c:v>1.3772094688939448E-4</c:v>
                </c:pt>
                <c:pt idx="7">
                  <c:v>5.0118723362727209E-4</c:v>
                </c:pt>
                <c:pt idx="8">
                  <c:v>3.0130060241861185E-4</c:v>
                </c:pt>
                <c:pt idx="9">
                  <c:v>4.1209751909733E-4</c:v>
                </c:pt>
                <c:pt idx="10">
                  <c:v>1.4996848355023737E-3</c:v>
                </c:pt>
                <c:pt idx="11">
                  <c:v>9.0157113760595668E-4</c:v>
                </c:pt>
                <c:pt idx="12">
                  <c:v>1.1857687481671617E-3</c:v>
                </c:pt>
                <c:pt idx="13">
                  <c:v>2.5941793621188165E-3</c:v>
                </c:pt>
                <c:pt idx="14">
                  <c:v>3.5481338923357593E-3</c:v>
                </c:pt>
                <c:pt idx="15">
                  <c:v>1.0209394837076806E-2</c:v>
                </c:pt>
                <c:pt idx="16">
                  <c:v>7.7624711662869226E-3</c:v>
                </c:pt>
                <c:pt idx="17">
                  <c:v>2.2335722228305314E-2</c:v>
                </c:pt>
                <c:pt idx="18">
                  <c:v>2.9376496519615356E-2</c:v>
                </c:pt>
                <c:pt idx="19">
                  <c:v>8.79022516830886E-2</c:v>
                </c:pt>
                <c:pt idx="20">
                  <c:v>6.6834391756861622E-2</c:v>
                </c:pt>
                <c:pt idx="21">
                  <c:v>0.25292979964461471</c:v>
                </c:pt>
              </c:numCache>
            </c:numRef>
          </c:yVal>
          <c:smooth val="0"/>
          <c:extLst>
            <c:ext xmlns:c16="http://schemas.microsoft.com/office/drawing/2014/chart" uri="{C3380CC4-5D6E-409C-BE32-E72D297353CC}">
              <c16:uniqueId val="{00000002-CE24-48C8-853B-AAFECF6B2EFE}"/>
            </c:ext>
          </c:extLst>
        </c:ser>
        <c:dLbls>
          <c:showLegendKey val="0"/>
          <c:showVal val="0"/>
          <c:showCatName val="0"/>
          <c:showSerName val="0"/>
          <c:showPercent val="0"/>
          <c:showBubbleSize val="0"/>
        </c:dLbls>
        <c:axId val="1057230799"/>
        <c:axId val="1057233199"/>
      </c:scatterChart>
      <c:valAx>
        <c:axId val="1057230799"/>
        <c:scaling>
          <c:orientation val="minMax"/>
          <c:min val="1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sz="1200" b="1"/>
                  <a:t>V</a:t>
                </a:r>
                <a:r>
                  <a:rPr lang="da-DK" sz="1200" b="1" baseline="-25000"/>
                  <a:t>m</a:t>
                </a:r>
                <a:r>
                  <a:rPr lang="da-DK" sz="1200" b="1"/>
                  <a:t> (cm</a:t>
                </a:r>
                <a:r>
                  <a:rPr lang="da-DK" sz="1200" b="1" baseline="30000"/>
                  <a:t>3</a:t>
                </a:r>
                <a:r>
                  <a:rPr lang="da-DK" sz="1200" b="1"/>
                  <a:t>/mol)</a:t>
                </a:r>
              </a:p>
            </c:rich>
          </c:tx>
          <c:layout>
            <c:manualLayout>
              <c:xMode val="edge"/>
              <c:yMode val="edge"/>
              <c:x val="0.48485752525465842"/>
              <c:y val="0.913572038258618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057233199"/>
        <c:crossesAt val="1.0000000000000004E-6"/>
        <c:crossBetween val="midCat"/>
      </c:valAx>
      <c:valAx>
        <c:axId val="1057233199"/>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da-DK" sz="1200" b="1"/>
                  <a:t>K</a:t>
                </a:r>
                <a:r>
                  <a:rPr lang="da-DK" sz="1200" b="1" baseline="-25000"/>
                  <a:t>ia</a:t>
                </a:r>
                <a:r>
                  <a:rPr lang="da-DK" sz="1200" b="1"/>
                  <a:t> (cm)</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da-DK"/>
            </a:p>
          </c:txPr>
        </c:title>
        <c:numFmt formatCode="0.00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05723079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da-DK" sz="1800" b="1" i="0" u="none" strike="noStrike" kern="1200" spc="0" baseline="0">
                <a:solidFill>
                  <a:sysClr val="windowText" lastClr="000000">
                    <a:lumMod val="65000"/>
                    <a:lumOff val="35000"/>
                  </a:sysClr>
                </a:solidFill>
                <a:latin typeface="+mn-lt"/>
                <a:ea typeface="+mn-ea"/>
                <a:cs typeface="+mn-cs"/>
              </a:defRPr>
            </a:pPr>
            <a:r>
              <a:rPr lang="da-DK"/>
              <a:t>Koncentration - luft-vand grænseflade</a:t>
            </a:r>
          </a:p>
        </c:rich>
      </c:tx>
      <c:overlay val="0"/>
      <c:spPr>
        <a:noFill/>
        <a:ln>
          <a:noFill/>
        </a:ln>
        <a:effectLst/>
      </c:spPr>
      <c:txPr>
        <a:bodyPr rot="0" spcFirstLastPara="1" vertOverflow="ellipsis" vert="horz" wrap="square" anchor="ctr" anchorCtr="1"/>
        <a:lstStyle/>
        <a:p>
          <a:pPr>
            <a:defRPr lang="da-DK" sz="1800" b="1" i="0" u="none" strike="noStrike" kern="1200" spc="0" baseline="0">
              <a:solidFill>
                <a:sysClr val="windowText" lastClr="000000">
                  <a:lumMod val="65000"/>
                  <a:lumOff val="35000"/>
                </a:sysClr>
              </a:solidFill>
              <a:latin typeface="+mn-lt"/>
              <a:ea typeface="+mn-ea"/>
              <a:cs typeface="+mn-cs"/>
            </a:defRPr>
          </a:pPr>
          <a:endParaRPr lang="da-DK"/>
        </a:p>
      </c:txPr>
    </c:title>
    <c:autoTitleDeleted val="0"/>
    <c:plotArea>
      <c:layout>
        <c:manualLayout>
          <c:layoutTarget val="inner"/>
          <c:xMode val="edge"/>
          <c:yMode val="edge"/>
          <c:x val="0.19911210388011538"/>
          <c:y val="0.11287972661665463"/>
          <c:w val="0.59980149801381422"/>
          <c:h val="0.72831142749556199"/>
        </c:manualLayout>
      </c:layout>
      <c:pieChart>
        <c:varyColors val="1"/>
        <c:ser>
          <c:idx val="0"/>
          <c:order val="0"/>
          <c:spPr>
            <a:ln w="9525">
              <a:solidFill>
                <a:schemeClr val="tx1">
                  <a:lumMod val="50000"/>
                  <a:lumOff val="50000"/>
                </a:schemeClr>
              </a:solidFill>
            </a:ln>
          </c:spPr>
          <c:dPt>
            <c:idx val="0"/>
            <c:bubble3D val="0"/>
            <c:spPr>
              <a:solidFill>
                <a:srgbClr val="DCECF6"/>
              </a:solidFill>
              <a:ln w="9525">
                <a:solidFill>
                  <a:schemeClr val="tx1">
                    <a:lumMod val="50000"/>
                    <a:lumOff val="50000"/>
                  </a:schemeClr>
                </a:solidFill>
              </a:ln>
              <a:effectLst/>
            </c:spPr>
            <c:extLst>
              <c:ext xmlns:c16="http://schemas.microsoft.com/office/drawing/2014/chart" uri="{C3380CC4-5D6E-409C-BE32-E72D297353CC}">
                <c16:uniqueId val="{00000001-11C2-4B65-8F2B-13FDCC78C6C9}"/>
              </c:ext>
            </c:extLst>
          </c:dPt>
          <c:dPt>
            <c:idx val="1"/>
            <c:bubble3D val="0"/>
            <c:spPr>
              <a:solidFill>
                <a:srgbClr val="BBD7E9"/>
              </a:solidFill>
              <a:ln w="9525">
                <a:solidFill>
                  <a:schemeClr val="tx1">
                    <a:lumMod val="50000"/>
                    <a:lumOff val="50000"/>
                  </a:schemeClr>
                </a:solidFill>
              </a:ln>
              <a:effectLst/>
            </c:spPr>
            <c:extLst>
              <c:ext xmlns:c16="http://schemas.microsoft.com/office/drawing/2014/chart" uri="{C3380CC4-5D6E-409C-BE32-E72D297353CC}">
                <c16:uniqueId val="{00000003-11C2-4B65-8F2B-13FDCC78C6C9}"/>
              </c:ext>
            </c:extLst>
          </c:dPt>
          <c:dPt>
            <c:idx val="2"/>
            <c:bubble3D val="0"/>
            <c:spPr>
              <a:solidFill>
                <a:srgbClr val="9EC0E5"/>
              </a:solidFill>
              <a:ln w="9525">
                <a:solidFill>
                  <a:schemeClr val="tx1">
                    <a:lumMod val="50000"/>
                    <a:lumOff val="50000"/>
                  </a:schemeClr>
                </a:solidFill>
              </a:ln>
              <a:effectLst/>
            </c:spPr>
            <c:extLst>
              <c:ext xmlns:c16="http://schemas.microsoft.com/office/drawing/2014/chart" uri="{C3380CC4-5D6E-409C-BE32-E72D297353CC}">
                <c16:uniqueId val="{00000005-11C2-4B65-8F2B-13FDCC78C6C9}"/>
              </c:ext>
            </c:extLst>
          </c:dPt>
          <c:dPt>
            <c:idx val="3"/>
            <c:bubble3D val="0"/>
            <c:spPr>
              <a:solidFill>
                <a:srgbClr val="3272B6"/>
              </a:solidFill>
              <a:ln w="9525">
                <a:solidFill>
                  <a:schemeClr val="tx1">
                    <a:lumMod val="50000"/>
                    <a:lumOff val="50000"/>
                  </a:schemeClr>
                </a:solidFill>
              </a:ln>
              <a:effectLst/>
            </c:spPr>
            <c:extLst>
              <c:ext xmlns:c16="http://schemas.microsoft.com/office/drawing/2014/chart" uri="{C3380CC4-5D6E-409C-BE32-E72D297353CC}">
                <c16:uniqueId val="{00000007-11C2-4B65-8F2B-13FDCC78C6C9}"/>
              </c:ext>
            </c:extLst>
          </c:dPt>
          <c:dPt>
            <c:idx val="4"/>
            <c:bubble3D val="0"/>
            <c:spPr>
              <a:solidFill>
                <a:srgbClr val="204C75"/>
              </a:solidFill>
              <a:ln w="9525">
                <a:solidFill>
                  <a:schemeClr val="tx1">
                    <a:lumMod val="50000"/>
                    <a:lumOff val="50000"/>
                  </a:schemeClr>
                </a:solidFill>
              </a:ln>
              <a:effectLst/>
            </c:spPr>
            <c:extLst>
              <c:ext xmlns:c16="http://schemas.microsoft.com/office/drawing/2014/chart" uri="{C3380CC4-5D6E-409C-BE32-E72D297353CC}">
                <c16:uniqueId val="{00000009-11C2-4B65-8F2B-13FDCC78C6C9}"/>
              </c:ext>
            </c:extLst>
          </c:dPt>
          <c:dPt>
            <c:idx val="5"/>
            <c:bubble3D val="0"/>
            <c:spPr>
              <a:solidFill>
                <a:srgbClr val="E0EFD6"/>
              </a:solidFill>
              <a:ln w="9525">
                <a:solidFill>
                  <a:schemeClr val="tx1">
                    <a:lumMod val="50000"/>
                    <a:lumOff val="50000"/>
                  </a:schemeClr>
                </a:solidFill>
              </a:ln>
              <a:effectLst/>
            </c:spPr>
            <c:extLst>
              <c:ext xmlns:c16="http://schemas.microsoft.com/office/drawing/2014/chart" uri="{C3380CC4-5D6E-409C-BE32-E72D297353CC}">
                <c16:uniqueId val="{0000000B-11C2-4B65-8F2B-13FDCC78C6C9}"/>
              </c:ext>
            </c:extLst>
          </c:dPt>
          <c:dPt>
            <c:idx val="6"/>
            <c:bubble3D val="0"/>
            <c:spPr>
              <a:solidFill>
                <a:srgbClr val="C6DFB5"/>
              </a:solidFill>
              <a:ln w="9525">
                <a:solidFill>
                  <a:schemeClr val="tx1">
                    <a:lumMod val="50000"/>
                    <a:lumOff val="50000"/>
                  </a:schemeClr>
                </a:solidFill>
              </a:ln>
              <a:effectLst/>
            </c:spPr>
            <c:extLst>
              <c:ext xmlns:c16="http://schemas.microsoft.com/office/drawing/2014/chart" uri="{C3380CC4-5D6E-409C-BE32-E72D297353CC}">
                <c16:uniqueId val="{0000000D-11C2-4B65-8F2B-13FDCC78C6C9}"/>
              </c:ext>
            </c:extLst>
          </c:dPt>
          <c:dPt>
            <c:idx val="7"/>
            <c:bubble3D val="0"/>
            <c:spPr>
              <a:solidFill>
                <a:srgbClr val="A7CF8F"/>
              </a:solidFill>
              <a:ln w="9525">
                <a:solidFill>
                  <a:schemeClr val="tx1">
                    <a:lumMod val="50000"/>
                    <a:lumOff val="50000"/>
                  </a:schemeClr>
                </a:solidFill>
              </a:ln>
              <a:effectLst/>
            </c:spPr>
            <c:extLst>
              <c:ext xmlns:c16="http://schemas.microsoft.com/office/drawing/2014/chart" uri="{C3380CC4-5D6E-409C-BE32-E72D297353CC}">
                <c16:uniqueId val="{0000000F-11C2-4B65-8F2B-13FDCC78C6C9}"/>
              </c:ext>
            </c:extLst>
          </c:dPt>
          <c:dPt>
            <c:idx val="8"/>
            <c:bubble3D val="0"/>
            <c:spPr>
              <a:solidFill>
                <a:srgbClr val="70AA4C"/>
              </a:solidFill>
              <a:ln w="9525">
                <a:solidFill>
                  <a:schemeClr val="tx1">
                    <a:lumMod val="50000"/>
                    <a:lumOff val="50000"/>
                  </a:schemeClr>
                </a:solidFill>
              </a:ln>
              <a:effectLst/>
            </c:spPr>
            <c:extLst>
              <c:ext xmlns:c16="http://schemas.microsoft.com/office/drawing/2014/chart" uri="{C3380CC4-5D6E-409C-BE32-E72D297353CC}">
                <c16:uniqueId val="{00000011-11C2-4B65-8F2B-13FDCC78C6C9}"/>
              </c:ext>
            </c:extLst>
          </c:dPt>
          <c:dPt>
            <c:idx val="9"/>
            <c:bubble3D val="0"/>
            <c:spPr>
              <a:solidFill>
                <a:srgbClr val="538137"/>
              </a:solidFill>
              <a:ln w="9525">
                <a:solidFill>
                  <a:schemeClr val="tx1">
                    <a:lumMod val="50000"/>
                    <a:lumOff val="50000"/>
                  </a:schemeClr>
                </a:solidFill>
              </a:ln>
              <a:effectLst/>
            </c:spPr>
            <c:extLst>
              <c:ext xmlns:c16="http://schemas.microsoft.com/office/drawing/2014/chart" uri="{C3380CC4-5D6E-409C-BE32-E72D297353CC}">
                <c16:uniqueId val="{00000013-11C2-4B65-8F2B-13FDCC78C6C9}"/>
              </c:ext>
            </c:extLst>
          </c:dPt>
          <c:dPt>
            <c:idx val="10"/>
            <c:bubble3D val="0"/>
            <c:spPr>
              <a:solidFill>
                <a:srgbClr val="FDEFD0"/>
              </a:solidFill>
              <a:ln w="9525">
                <a:solidFill>
                  <a:schemeClr val="tx1">
                    <a:lumMod val="50000"/>
                    <a:lumOff val="50000"/>
                  </a:schemeClr>
                </a:solidFill>
              </a:ln>
              <a:effectLst/>
            </c:spPr>
            <c:extLst>
              <c:ext xmlns:c16="http://schemas.microsoft.com/office/drawing/2014/chart" uri="{C3380CC4-5D6E-409C-BE32-E72D297353CC}">
                <c16:uniqueId val="{00000015-11C2-4B65-8F2B-13FDCC78C6C9}"/>
              </c:ext>
            </c:extLst>
          </c:dPt>
          <c:dPt>
            <c:idx val="11"/>
            <c:bubble3D val="0"/>
            <c:spPr>
              <a:solidFill>
                <a:srgbClr val="FBE59B"/>
              </a:solidFill>
              <a:ln w="9525">
                <a:solidFill>
                  <a:schemeClr val="tx1">
                    <a:lumMod val="50000"/>
                    <a:lumOff val="50000"/>
                  </a:schemeClr>
                </a:solidFill>
              </a:ln>
              <a:effectLst/>
            </c:spPr>
            <c:extLst>
              <c:ext xmlns:c16="http://schemas.microsoft.com/office/drawing/2014/chart" uri="{C3380CC4-5D6E-409C-BE32-E72D297353CC}">
                <c16:uniqueId val="{00000017-11C2-4B65-8F2B-13FDCC78C6C9}"/>
              </c:ext>
            </c:extLst>
          </c:dPt>
          <c:dPt>
            <c:idx val="12"/>
            <c:bubble3D val="0"/>
            <c:spPr>
              <a:solidFill>
                <a:srgbClr val="FEDA67"/>
              </a:solidFill>
              <a:ln w="9525">
                <a:solidFill>
                  <a:schemeClr val="tx1">
                    <a:lumMod val="50000"/>
                    <a:lumOff val="50000"/>
                  </a:schemeClr>
                </a:solidFill>
              </a:ln>
              <a:effectLst/>
            </c:spPr>
            <c:extLst>
              <c:ext xmlns:c16="http://schemas.microsoft.com/office/drawing/2014/chart" uri="{C3380CC4-5D6E-409C-BE32-E72D297353CC}">
                <c16:uniqueId val="{00000019-11C2-4B65-8F2B-13FDCC78C6C9}"/>
              </c:ext>
            </c:extLst>
          </c:dPt>
          <c:dPt>
            <c:idx val="13"/>
            <c:bubble3D val="0"/>
            <c:spPr>
              <a:solidFill>
                <a:srgbClr val="B99004"/>
              </a:solidFill>
              <a:ln w="9525">
                <a:solidFill>
                  <a:schemeClr val="tx1">
                    <a:lumMod val="50000"/>
                    <a:lumOff val="50000"/>
                  </a:schemeClr>
                </a:solidFill>
              </a:ln>
              <a:effectLst/>
            </c:spPr>
            <c:extLst>
              <c:ext xmlns:c16="http://schemas.microsoft.com/office/drawing/2014/chart" uri="{C3380CC4-5D6E-409C-BE32-E72D297353CC}">
                <c16:uniqueId val="{0000001B-11C2-4B65-8F2B-13FDCC78C6C9}"/>
              </c:ext>
            </c:extLst>
          </c:dPt>
          <c:dPt>
            <c:idx val="14"/>
            <c:bubble3D val="0"/>
            <c:spPr>
              <a:solidFill>
                <a:srgbClr val="826003"/>
              </a:solidFill>
              <a:ln w="9525">
                <a:solidFill>
                  <a:schemeClr val="tx1">
                    <a:lumMod val="50000"/>
                    <a:lumOff val="50000"/>
                  </a:schemeClr>
                </a:solidFill>
              </a:ln>
              <a:effectLst/>
            </c:spPr>
            <c:extLst>
              <c:ext xmlns:c16="http://schemas.microsoft.com/office/drawing/2014/chart" uri="{C3380CC4-5D6E-409C-BE32-E72D297353CC}">
                <c16:uniqueId val="{0000001D-11C2-4B65-8F2B-13FDCC78C6C9}"/>
              </c:ext>
            </c:extLst>
          </c:dPt>
          <c:dPt>
            <c:idx val="15"/>
            <c:bubble3D val="0"/>
            <c:spPr>
              <a:solidFill>
                <a:srgbClr val="F7CCAD"/>
              </a:solidFill>
              <a:ln w="9525">
                <a:solidFill>
                  <a:schemeClr val="tx1">
                    <a:lumMod val="50000"/>
                    <a:lumOff val="50000"/>
                  </a:schemeClr>
                </a:solidFill>
              </a:ln>
              <a:effectLst/>
            </c:spPr>
            <c:extLst>
              <c:ext xmlns:c16="http://schemas.microsoft.com/office/drawing/2014/chart" uri="{C3380CC4-5D6E-409C-BE32-E72D297353CC}">
                <c16:uniqueId val="{0000001F-11C2-4B65-8F2B-13FDCC78C6C9}"/>
              </c:ext>
            </c:extLst>
          </c:dPt>
          <c:dPt>
            <c:idx val="16"/>
            <c:bubble3D val="0"/>
            <c:spPr>
              <a:solidFill>
                <a:srgbClr val="F7AE85"/>
              </a:solidFill>
              <a:ln w="9525">
                <a:solidFill>
                  <a:schemeClr val="tx1">
                    <a:lumMod val="50000"/>
                    <a:lumOff val="50000"/>
                  </a:schemeClr>
                </a:solidFill>
              </a:ln>
              <a:effectLst/>
            </c:spPr>
            <c:extLst>
              <c:ext xmlns:c16="http://schemas.microsoft.com/office/drawing/2014/chart" uri="{C3380CC4-5D6E-409C-BE32-E72D297353CC}">
                <c16:uniqueId val="{00000021-11C2-4B65-8F2B-13FDCC78C6C9}"/>
              </c:ext>
            </c:extLst>
          </c:dPt>
          <c:dPt>
            <c:idx val="17"/>
            <c:bubble3D val="0"/>
            <c:spPr>
              <a:solidFill>
                <a:srgbClr val="EC7D30"/>
              </a:solidFill>
              <a:ln w="9525">
                <a:solidFill>
                  <a:schemeClr val="tx1">
                    <a:lumMod val="50000"/>
                    <a:lumOff val="50000"/>
                  </a:schemeClr>
                </a:solidFill>
              </a:ln>
              <a:effectLst/>
            </c:spPr>
            <c:extLst>
              <c:ext xmlns:c16="http://schemas.microsoft.com/office/drawing/2014/chart" uri="{C3380CC4-5D6E-409C-BE32-E72D297353CC}">
                <c16:uniqueId val="{00000023-11C2-4B65-8F2B-13FDCC78C6C9}"/>
              </c:ext>
            </c:extLst>
          </c:dPt>
          <c:dPt>
            <c:idx val="18"/>
            <c:bubble3D val="0"/>
            <c:spPr>
              <a:solidFill>
                <a:srgbClr val="C35A0D"/>
              </a:solidFill>
              <a:ln w="9525">
                <a:solidFill>
                  <a:schemeClr val="tx1">
                    <a:lumMod val="50000"/>
                    <a:lumOff val="50000"/>
                  </a:schemeClr>
                </a:solidFill>
              </a:ln>
              <a:effectLst/>
            </c:spPr>
            <c:extLst>
              <c:ext xmlns:c16="http://schemas.microsoft.com/office/drawing/2014/chart" uri="{C3380CC4-5D6E-409C-BE32-E72D297353CC}">
                <c16:uniqueId val="{00000025-11C2-4B65-8F2B-13FDCC78C6C9}"/>
              </c:ext>
            </c:extLst>
          </c:dPt>
          <c:dPt>
            <c:idx val="19"/>
            <c:bubble3D val="0"/>
            <c:spPr>
              <a:solidFill>
                <a:srgbClr val="803E0A"/>
              </a:solidFill>
              <a:ln w="9525">
                <a:solidFill>
                  <a:schemeClr val="tx1">
                    <a:lumMod val="50000"/>
                    <a:lumOff val="50000"/>
                  </a:schemeClr>
                </a:solidFill>
              </a:ln>
              <a:effectLst/>
            </c:spPr>
            <c:extLst>
              <c:ext xmlns:c16="http://schemas.microsoft.com/office/drawing/2014/chart" uri="{C3380CC4-5D6E-409C-BE32-E72D297353CC}">
                <c16:uniqueId val="{00000027-11C2-4B65-8F2B-13FDCC78C6C9}"/>
              </c:ext>
            </c:extLst>
          </c:dPt>
          <c:dPt>
            <c:idx val="20"/>
            <c:bubble3D val="0"/>
            <c:spPr>
              <a:solidFill>
                <a:srgbClr val="7A7A7A"/>
              </a:solidFill>
              <a:ln w="9525">
                <a:solidFill>
                  <a:schemeClr val="tx1">
                    <a:lumMod val="50000"/>
                    <a:lumOff val="50000"/>
                  </a:schemeClr>
                </a:solidFill>
              </a:ln>
              <a:effectLst/>
            </c:spPr>
            <c:extLst>
              <c:ext xmlns:c16="http://schemas.microsoft.com/office/drawing/2014/chart" uri="{C3380CC4-5D6E-409C-BE32-E72D297353CC}">
                <c16:uniqueId val="{00000028-2DDB-454A-A163-06A3E33C2781}"/>
              </c:ext>
            </c:extLst>
          </c:dPt>
          <c:dPt>
            <c:idx val="21"/>
            <c:bubble3D val="0"/>
            <c:spPr>
              <a:solidFill>
                <a:srgbClr val="FA60D5"/>
              </a:solidFill>
              <a:ln w="9525">
                <a:solidFill>
                  <a:schemeClr val="tx1">
                    <a:lumMod val="50000"/>
                    <a:lumOff val="50000"/>
                  </a:schemeClr>
                </a:solidFill>
              </a:ln>
              <a:effectLst/>
            </c:spPr>
            <c:extLst>
              <c:ext xmlns:c16="http://schemas.microsoft.com/office/drawing/2014/chart" uri="{C3380CC4-5D6E-409C-BE32-E72D297353CC}">
                <c16:uniqueId val="{00000029-2DDB-454A-A163-06A3E33C2781}"/>
              </c:ext>
            </c:extLst>
          </c:dPt>
          <c:cat>
            <c:strRef>
              <c:f>PieCharts1!$N$72:$N$93</c:f>
              <c:strCache>
                <c:ptCount val="22"/>
                <c:pt idx="0">
                  <c:v>PFBA</c:v>
                </c:pt>
                <c:pt idx="1">
                  <c:v>PFPeA</c:v>
                </c:pt>
                <c:pt idx="2">
                  <c:v>PFHxA</c:v>
                </c:pt>
                <c:pt idx="3">
                  <c:v>PFHpA</c:v>
                </c:pt>
                <c:pt idx="4">
                  <c:v>PFOA</c:v>
                </c:pt>
                <c:pt idx="5">
                  <c:v>PFNA</c:v>
                </c:pt>
                <c:pt idx="6">
                  <c:v>PFDA</c:v>
                </c:pt>
                <c:pt idx="7">
                  <c:v>PFUnDA</c:v>
                </c:pt>
                <c:pt idx="8">
                  <c:v>PFDoDA</c:v>
                </c:pt>
                <c:pt idx="9">
                  <c:v>PFTrDA</c:v>
                </c:pt>
                <c:pt idx="10">
                  <c:v>PFBS</c:v>
                </c:pt>
                <c:pt idx="11">
                  <c:v>PFPeS</c:v>
                </c:pt>
                <c:pt idx="12">
                  <c:v>PFHxS</c:v>
                </c:pt>
                <c:pt idx="13">
                  <c:v>PFHpS</c:v>
                </c:pt>
                <c:pt idx="14">
                  <c:v>PFOS</c:v>
                </c:pt>
                <c:pt idx="15">
                  <c:v>PFNS</c:v>
                </c:pt>
                <c:pt idx="16">
                  <c:v>PFDS</c:v>
                </c:pt>
                <c:pt idx="17">
                  <c:v>PFUnDS</c:v>
                </c:pt>
                <c:pt idx="18">
                  <c:v>PFDoDS</c:v>
                </c:pt>
                <c:pt idx="19">
                  <c:v>PFTrDS</c:v>
                </c:pt>
                <c:pt idx="20">
                  <c:v>6:2 FTS</c:v>
                </c:pt>
                <c:pt idx="21">
                  <c:v>PFOSA</c:v>
                </c:pt>
              </c:strCache>
            </c:strRef>
          </c:cat>
          <c:val>
            <c:numRef>
              <c:f>PieCharts1!$P$72:$P$93</c:f>
              <c:numCache>
                <c:formatCode>0.0E+00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2C-11C2-4B65-8F2B-13FDCC78C6C9}"/>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4.0440341107485372E-2"/>
          <c:y val="0.885502509883344"/>
          <c:w val="0.9169561406467116"/>
          <c:h val="9.8643370066939656E-2"/>
        </c:manualLayout>
      </c:layout>
      <c:overlay val="0"/>
      <c:spPr>
        <a:solidFill>
          <a:srgbClr val="D9D9D9">
            <a:alpha val="39000"/>
          </a:srgbClr>
        </a:solidFill>
        <a:ln>
          <a:solidFill>
            <a:srgbClr val="BFBFBF"/>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rgbClr val="BFBFBF"/>
      </a:solidFill>
      <a:round/>
    </a:ln>
    <a:effectLst/>
  </c:spPr>
  <c:txPr>
    <a:bodyPr/>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PFBA (C3)</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Følsomhedsanalyse!$F$31:$F$33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PFBS (C4)</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Følsomhedsanalyse!$G$31:$G$33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rgbClr val="0070C0"/>
                </a:solidFill>
                <a:latin typeface="+mn-lt"/>
                <a:ea typeface="+mn-ea"/>
                <a:cs typeface="+mn-cs"/>
              </a:defRPr>
            </a:pPr>
            <a:r>
              <a:rPr lang="da-DK">
                <a:solidFill>
                  <a:srgbClr val="0070C0"/>
                </a:solidFill>
              </a:rPr>
              <a:t>PFHxS (C6)</a:t>
            </a:r>
          </a:p>
        </c:rich>
      </c:tx>
      <c:layout>
        <c:manualLayout>
          <c:xMode val="edge"/>
          <c:yMode val="edge"/>
          <c:x val="0.25621967769296011"/>
          <c:y val="2.7159171075837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rgbClr val="0070C0"/>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6BF1-43DE-B99B-5A371B60107B}"/>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BF1-43DE-B99B-5A371B60107B}"/>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BF1-43DE-B99B-5A371B60107B}"/>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BF1-43DE-B99B-5A371B60107B}"/>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Følsomhedsanalyse!$L$31:$L$33</c:f>
              <c:numCache>
                <c:formatCode>0.0%</c:formatCode>
                <c:ptCount val="3"/>
                <c:pt idx="0">
                  <c:v>0</c:v>
                </c:pt>
                <c:pt idx="1">
                  <c:v>0</c:v>
                </c:pt>
                <c:pt idx="2">
                  <c:v>0</c:v>
                </c:pt>
              </c:numCache>
            </c:numRef>
          </c:val>
          <c:extLst>
            <c:ext xmlns:c16="http://schemas.microsoft.com/office/drawing/2014/chart" uri="{C3380CC4-5D6E-409C-BE32-E72D297353CC}">
              <c16:uniqueId val="{00000006-6BF1-43DE-B99B-5A371B60107B}"/>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rgbClr val="0070C0"/>
                </a:solidFill>
                <a:latin typeface="+mn-lt"/>
                <a:ea typeface="+mn-ea"/>
                <a:cs typeface="+mn-cs"/>
              </a:defRPr>
            </a:pPr>
            <a:r>
              <a:rPr lang="da-DK">
                <a:solidFill>
                  <a:srgbClr val="0070C0"/>
                </a:solidFill>
              </a:rPr>
              <a:t>PFOS (C8)</a:t>
            </a:r>
          </a:p>
        </c:rich>
      </c:tx>
      <c:layout>
        <c:manualLayout>
          <c:xMode val="edge"/>
          <c:yMode val="edge"/>
          <c:x val="0.27776335877862596"/>
          <c:y val="2.7159171075837738E-2"/>
        </c:manualLayout>
      </c:layout>
      <c:overlay val="0"/>
      <c:spPr>
        <a:noFill/>
        <a:ln>
          <a:noFill/>
        </a:ln>
        <a:effectLst/>
      </c:spPr>
      <c:txPr>
        <a:bodyPr rot="0" spcFirstLastPara="1" vertOverflow="ellipsis" vert="horz" wrap="square" anchor="ctr" anchorCtr="1"/>
        <a:lstStyle/>
        <a:p>
          <a:pPr>
            <a:defRPr sz="1800" b="1" i="0" u="none" strike="noStrike" kern="1200" baseline="0">
              <a:solidFill>
                <a:srgbClr val="0070C0"/>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69AC-44FB-B868-077D8F8763E9}"/>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9AC-44FB-B868-077D8F8763E9}"/>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9AC-44FB-B868-077D8F8763E9}"/>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9AC-44FB-B868-077D8F8763E9}"/>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Følsomhedsanalyse!$R$31:$R$33</c:f>
              <c:numCache>
                <c:formatCode>0.0%</c:formatCode>
                <c:ptCount val="3"/>
                <c:pt idx="0">
                  <c:v>0</c:v>
                </c:pt>
                <c:pt idx="1">
                  <c:v>0</c:v>
                </c:pt>
                <c:pt idx="2">
                  <c:v>0</c:v>
                </c:pt>
              </c:numCache>
            </c:numRef>
          </c:val>
          <c:extLst>
            <c:ext xmlns:c16="http://schemas.microsoft.com/office/drawing/2014/chart" uri="{C3380CC4-5D6E-409C-BE32-E72D297353CC}">
              <c16:uniqueId val="{00000006-69AC-44FB-B868-077D8F8763E9}"/>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6:2 FTS (C6)</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Følsomhedsanalyse!$M$31:$M$33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da-DK">
                <a:solidFill>
                  <a:schemeClr val="tx1"/>
                </a:solidFill>
              </a:rPr>
              <a:t>PFDA (C9)</a:t>
            </a:r>
          </a:p>
        </c:rich>
      </c:tx>
      <c:layout>
        <c:manualLayout>
          <c:xMode val="edge"/>
          <c:yMode val="edge"/>
          <c:x val="0.29138888888888886"/>
          <c:y val="2.7159234629350094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da-DK"/>
        </a:p>
      </c:txPr>
    </c:title>
    <c:autoTitleDeleted val="0"/>
    <c:plotArea>
      <c:layout/>
      <c:pieChart>
        <c:varyColors val="1"/>
        <c:ser>
          <c:idx val="0"/>
          <c:order val="0"/>
          <c:spPr>
            <a:ln>
              <a:solidFill>
                <a:schemeClr val="tx1">
                  <a:lumMod val="50000"/>
                  <a:lumOff val="50000"/>
                </a:schemeClr>
              </a:solidFill>
            </a:ln>
          </c:spPr>
          <c:explosion val="15"/>
          <c:dPt>
            <c:idx val="0"/>
            <c:bubble3D val="0"/>
            <c:explosion val="6"/>
            <c:spPr>
              <a:solidFill>
                <a:srgbClr val="88CDEC"/>
              </a:solidFill>
              <a:ln>
                <a:solidFill>
                  <a:schemeClr val="tx1">
                    <a:lumMod val="50000"/>
                    <a:lumOff val="50000"/>
                  </a:schemeClr>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260-4A87-9A42-0907C9D173FA}"/>
              </c:ext>
            </c:extLst>
          </c:dPt>
          <c:dPt>
            <c:idx val="1"/>
            <c:bubble3D val="0"/>
            <c:explosion val="12"/>
            <c:spPr>
              <a:solidFill>
                <a:srgbClr val="A6833C"/>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260-4A87-9A42-0907C9D173FA}"/>
              </c:ext>
            </c:extLst>
          </c:dPt>
          <c:dPt>
            <c:idx val="2"/>
            <c:bubble3D val="0"/>
            <c:explosion val="4"/>
            <c:spPr>
              <a:solidFill>
                <a:srgbClr val="5AFCD2"/>
              </a:solidFill>
              <a:ln>
                <a:solidFill>
                  <a:schemeClr val="tx1">
                    <a:lumMod val="50000"/>
                    <a:lumOff val="50000"/>
                  </a:schemeClr>
                </a:solid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260-4A87-9A42-0907C9D173FA}"/>
              </c:ext>
            </c:extLst>
          </c:dPt>
          <c:dLbls>
            <c:dLbl>
              <c:idx val="2"/>
              <c:layout>
                <c:manualLayout>
                  <c:x val="4.8979604429915925E-2"/>
                  <c:y val="2.3747566771436255E-17"/>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260-4A87-9A42-0907C9D173FA}"/>
                </c:ext>
              </c:extLst>
            </c:dLbl>
            <c:numFmt formatCode="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da-DK"/>
              </a:p>
            </c:txPr>
            <c:dLblPos val="out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Følsomhedsanalyse!$B$31:$B$33</c:f>
              <c:strCache>
                <c:ptCount val="3"/>
                <c:pt idx="0">
                  <c:v>Vand</c:v>
                </c:pt>
                <c:pt idx="1">
                  <c:v>Jord</c:v>
                </c:pt>
                <c:pt idx="2">
                  <c:v>Luft-vand grænse</c:v>
                </c:pt>
              </c:strCache>
            </c:strRef>
          </c:cat>
          <c:val>
            <c:numRef>
              <c:f>Følsomhedsanalyse!$S$31:$S$33</c:f>
              <c:numCache>
                <c:formatCode>0.0%</c:formatCode>
                <c:ptCount val="3"/>
                <c:pt idx="0">
                  <c:v>0</c:v>
                </c:pt>
                <c:pt idx="1">
                  <c:v>0</c:v>
                </c:pt>
                <c:pt idx="2">
                  <c:v>0</c:v>
                </c:pt>
              </c:numCache>
            </c:numRef>
          </c:val>
          <c:extLst>
            <c:ext xmlns:c16="http://schemas.microsoft.com/office/drawing/2014/chart" uri="{C3380CC4-5D6E-409C-BE32-E72D297353CC}">
              <c16:uniqueId val="{00000006-A260-4A87-9A42-0907C9D173F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solidFill>
          <a:sysClr val="window" lastClr="FFFFFF">
            <a:lumMod val="85000"/>
            <a:alpha val="39000"/>
          </a:sysClr>
        </a:solidFill>
        <a:ln>
          <a:solidFill>
            <a:sysClr val="window" lastClr="FFFFFF">
              <a:lumMod val="75000"/>
            </a:sysClr>
          </a:solidFill>
        </a:ln>
        <a:effectLst/>
      </c:spPr>
      <c:txPr>
        <a:bodyPr rot="0" spcFirstLastPara="1" vertOverflow="ellipsis" vert="horz" wrap="square" anchor="ctr" anchorCtr="1"/>
        <a:lstStyle/>
        <a:p>
          <a:pPr rtl="0">
            <a:defRPr sz="900" b="0" i="0" u="none" strike="noStrike" kern="1200" baseline="0">
              <a:solidFill>
                <a:schemeClr val="tx1">
                  <a:lumMod val="75000"/>
                  <a:lumOff val="25000"/>
                </a:schemeClr>
              </a:solidFill>
              <a:latin typeface="+mn-lt"/>
              <a:ea typeface="+mn-ea"/>
              <a:cs typeface="+mn-cs"/>
            </a:defRPr>
          </a:pPr>
          <a:endParaRPr lang="da-DK"/>
        </a:p>
      </c:txPr>
    </c:legend>
    <c:plotVisOnly val="1"/>
    <c:dispBlanksAs val="gap"/>
    <c:showDLblsOverMax val="0"/>
    <c:extLst/>
  </c:chart>
  <c:spPr>
    <a:solidFill>
      <a:schemeClr val="bg1"/>
    </a:solidFill>
    <a:ln w="9525" cap="flat" cmpd="sng" algn="ctr">
      <a:solidFill>
        <a:schemeClr val="dk1">
          <a:lumMod val="25000"/>
          <a:lumOff val="7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chart" Target="../charts/chart26.xml"/><Relationship Id="rId5" Type="http://schemas.openxmlformats.org/officeDocument/2006/relationships/image" Target="../media/image18.png"/><Relationship Id="rId4" Type="http://schemas.openxmlformats.org/officeDocument/2006/relationships/image" Target="../media/image17.png"/></Relationships>
</file>

<file path=xl/drawings/_rels/drawing12.xml.rels><?xml version="1.0" encoding="UTF-8" standalone="yes"?>
<Relationships xmlns="http://schemas.openxmlformats.org/package/2006/relationships"><Relationship Id="rId8" Type="http://schemas.openxmlformats.org/officeDocument/2006/relationships/image" Target="../media/image26.png"/><Relationship Id="rId3" Type="http://schemas.openxmlformats.org/officeDocument/2006/relationships/image" Target="../media/image21.png"/><Relationship Id="rId7" Type="http://schemas.openxmlformats.org/officeDocument/2006/relationships/image" Target="../media/image25.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png"/><Relationship Id="rId5" Type="http://schemas.openxmlformats.org/officeDocument/2006/relationships/image" Target="../media/image23.png"/><Relationship Id="rId4" Type="http://schemas.openxmlformats.org/officeDocument/2006/relationships/image" Target="../media/image22.png"/><Relationship Id="rId9" Type="http://schemas.openxmlformats.org/officeDocument/2006/relationships/image" Target="../media/image2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9.emf"/><Relationship Id="rId1" Type="http://schemas.openxmlformats.org/officeDocument/2006/relationships/image" Target="../media/image28.emf"/></Relationships>
</file>

<file path=xl/drawings/_rels/drawing15.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 Id="rId5" Type="http://schemas.openxmlformats.org/officeDocument/2006/relationships/image" Target="../media/image34.png"/><Relationship Id="rId4" Type="http://schemas.openxmlformats.org/officeDocument/2006/relationships/image" Target="../media/image33.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image" Target="../media/image5.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21" Type="http://schemas.openxmlformats.org/officeDocument/2006/relationships/chart" Target="../charts/chart24.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 Id="rId22" Type="http://schemas.openxmlformats.org/officeDocument/2006/relationships/chart" Target="../charts/chart25.xml"/></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7</xdr:col>
      <xdr:colOff>303069</xdr:colOff>
      <xdr:row>29</xdr:row>
      <xdr:rowOff>28728</xdr:rowOff>
    </xdr:from>
    <xdr:to>
      <xdr:col>12</xdr:col>
      <xdr:colOff>60613</xdr:colOff>
      <xdr:row>33</xdr:row>
      <xdr:rowOff>121226</xdr:rowOff>
    </xdr:to>
    <xdr:grpSp>
      <xdr:nvGrpSpPr>
        <xdr:cNvPr id="25" name="Gruppe 24">
          <a:extLst>
            <a:ext uri="{FF2B5EF4-FFF2-40B4-BE49-F238E27FC236}">
              <a16:creationId xmlns:a16="http://schemas.microsoft.com/office/drawing/2014/main" id="{D90B2348-7090-6636-0638-C18E4AF45DA2}"/>
            </a:ext>
          </a:extLst>
        </xdr:cNvPr>
        <xdr:cNvGrpSpPr>
          <a:grpSpLocks noChangeAspect="1"/>
        </xdr:cNvGrpSpPr>
      </xdr:nvGrpSpPr>
      <xdr:grpSpPr>
        <a:xfrm>
          <a:off x="4701887" y="9034183"/>
          <a:ext cx="2788226" cy="854498"/>
          <a:chOff x="4395299" y="6213483"/>
          <a:chExt cx="2701039" cy="838200"/>
        </a:xfrm>
      </xdr:grpSpPr>
      <xdr:pic>
        <xdr:nvPicPr>
          <xdr:cNvPr id="15" name="image">
            <a:extLst>
              <a:ext uri="{FF2B5EF4-FFF2-40B4-BE49-F238E27FC236}">
                <a16:creationId xmlns:a16="http://schemas.microsoft.com/office/drawing/2014/main" id="{DE165045-B420-4A72-A8A5-D6C3C9C7C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10203" y="6356358"/>
            <a:ext cx="686135" cy="684431"/>
          </a:xfrm>
          <a:prstGeom prst="rect">
            <a:avLst/>
          </a:prstGeom>
        </xdr:spPr>
      </xdr:pic>
      <xdr:pic>
        <xdr:nvPicPr>
          <xdr:cNvPr id="16" name="Region">
            <a:extLst>
              <a:ext uri="{FF2B5EF4-FFF2-40B4-BE49-F238E27FC236}">
                <a16:creationId xmlns:a16="http://schemas.microsoft.com/office/drawing/2014/main" id="{0A0ADC09-B267-4A85-AB16-A99E12D787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66735" y="6400181"/>
            <a:ext cx="116417" cy="594784"/>
          </a:xfrm>
          <a:prstGeom prst="rect">
            <a:avLst/>
          </a:prstGeom>
        </xdr:spPr>
      </xdr:pic>
      <xdr:pic>
        <xdr:nvPicPr>
          <xdr:cNvPr id="17" name="Billede 16">
            <a:extLst>
              <a:ext uri="{FF2B5EF4-FFF2-40B4-BE49-F238E27FC236}">
                <a16:creationId xmlns:a16="http://schemas.microsoft.com/office/drawing/2014/main" id="{CF4A63CB-6570-4B0E-9772-C96DC62F547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82863"/>
          <a:stretch/>
        </xdr:blipFill>
        <xdr:spPr>
          <a:xfrm>
            <a:off x="4395299" y="6365881"/>
            <a:ext cx="1148157" cy="684000"/>
          </a:xfrm>
          <a:prstGeom prst="rect">
            <a:avLst/>
          </a:prstGeom>
        </xdr:spPr>
      </xdr:pic>
      <xdr:grpSp>
        <xdr:nvGrpSpPr>
          <xdr:cNvPr id="20" name="Gruppe 19">
            <a:extLst>
              <a:ext uri="{FF2B5EF4-FFF2-40B4-BE49-F238E27FC236}">
                <a16:creationId xmlns:a16="http://schemas.microsoft.com/office/drawing/2014/main" id="{D82CA57D-F302-2A30-8903-265FEE2E3D71}"/>
              </a:ext>
            </a:extLst>
          </xdr:cNvPr>
          <xdr:cNvGrpSpPr/>
        </xdr:nvGrpSpPr>
        <xdr:grpSpPr>
          <a:xfrm>
            <a:off x="5649669" y="6213483"/>
            <a:ext cx="598609" cy="838200"/>
            <a:chOff x="5286375" y="4048125"/>
            <a:chExt cx="600075" cy="838200"/>
          </a:xfrm>
        </xdr:grpSpPr>
        <xdr:sp macro="" textlink="">
          <xdr:nvSpPr>
            <xdr:cNvPr id="18" name="Background">
              <a:extLst>
                <a:ext uri="{FF2B5EF4-FFF2-40B4-BE49-F238E27FC236}">
                  <a16:creationId xmlns:a16="http://schemas.microsoft.com/office/drawing/2014/main" id="{AD1CD10D-A44E-4B46-9365-EF816F0D40EF}"/>
                </a:ext>
              </a:extLst>
            </xdr:cNvPr>
            <xdr:cNvSpPr/>
          </xdr:nvSpPr>
          <xdr:spPr bwMode="auto">
            <a:xfrm>
              <a:off x="5286375" y="4048125"/>
              <a:ext cx="600075" cy="838200"/>
            </a:xfrm>
            <a:prstGeom prst="rect">
              <a:avLst/>
            </a:prstGeom>
            <a:solidFill>
              <a:srgbClr val="008737"/>
            </a:solidFill>
            <a:ln w="9525" cap="flat" cmpd="sng" algn="ctr">
              <a:noFill/>
              <a:prstDash val="solid"/>
              <a:round/>
              <a:headEnd type="none" w="med" len="med"/>
              <a:tailEnd type="none" w="med" len="med"/>
            </a:ln>
            <a:effectLst/>
          </xdr:spPr>
          <xdr:txBody>
            <a:bodyPr vert="horz" wrap="square" lIns="0" tIns="0" rIns="0" bIns="0" numCol="1" rtlCol="0" anchor="t" anchorCtr="0" compatLnSpc="1">
              <a:prstTxWarp prst="textNoShape">
                <a:avLst/>
              </a:prstTxWarp>
            </a:bodyPr>
            <a:lstStyle>
              <a:defPPr>
                <a:defRPr lang="da-DK"/>
              </a:defPPr>
              <a:lvl1pPr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1pPr>
              <a:lvl2pPr marL="4572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2pPr>
              <a:lvl3pPr marL="9144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3pPr>
              <a:lvl4pPr marL="13716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4pPr>
              <a:lvl5pPr marL="18288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5pPr>
              <a:lvl6pPr marL="2286000" algn="l" defTabSz="914400" rtl="0" eaLnBrk="1" latinLnBrk="0" hangingPunct="1">
                <a:defRPr sz="1600" kern="1200">
                  <a:solidFill>
                    <a:schemeClr val="tx1"/>
                  </a:solidFill>
                  <a:latin typeface="Verdana" pitchFamily="34" charset="0"/>
                  <a:ea typeface="ＭＳ Ｐゴシック" pitchFamily="-80" charset="-128"/>
                  <a:cs typeface="+mn-cs"/>
                </a:defRPr>
              </a:lvl6pPr>
              <a:lvl7pPr marL="2743200" algn="l" defTabSz="914400" rtl="0" eaLnBrk="1" latinLnBrk="0" hangingPunct="1">
                <a:defRPr sz="1600" kern="1200">
                  <a:solidFill>
                    <a:schemeClr val="tx1"/>
                  </a:solidFill>
                  <a:latin typeface="Verdana" pitchFamily="34" charset="0"/>
                  <a:ea typeface="ＭＳ Ｐゴシック" pitchFamily="-80" charset="-128"/>
                  <a:cs typeface="+mn-cs"/>
                </a:defRPr>
              </a:lvl7pPr>
              <a:lvl8pPr marL="3200400" algn="l" defTabSz="914400" rtl="0" eaLnBrk="1" latinLnBrk="0" hangingPunct="1">
                <a:defRPr sz="1600" kern="1200">
                  <a:solidFill>
                    <a:schemeClr val="tx1"/>
                  </a:solidFill>
                  <a:latin typeface="Verdana" pitchFamily="34" charset="0"/>
                  <a:ea typeface="ＭＳ Ｐゴシック" pitchFamily="-80" charset="-128"/>
                  <a:cs typeface="+mn-cs"/>
                </a:defRPr>
              </a:lvl8pPr>
              <a:lvl9pPr marL="3657600" algn="l" defTabSz="914400" rtl="0" eaLnBrk="1" latinLnBrk="0" hangingPunct="1">
                <a:defRPr sz="1600" kern="1200">
                  <a:solidFill>
                    <a:schemeClr val="tx1"/>
                  </a:solidFill>
                  <a:latin typeface="Verdana" pitchFamily="34" charset="0"/>
                  <a:ea typeface="ＭＳ Ｐゴシック" pitchFamily="-80" charset="-128"/>
                  <a:cs typeface="+mn-cs"/>
                </a:defRPr>
              </a:lvl9pPr>
            </a:lstStyle>
            <a:p>
              <a:pPr marL="0" marR="0" indent="0" algn="l" defTabSz="914400" rtl="0" eaLnBrk="1" fontAlgn="base" latinLnBrk="0" hangingPunct="1">
                <a:lnSpc>
                  <a:spcPct val="100000"/>
                </a:lnSpc>
                <a:spcBef>
                  <a:spcPct val="50000"/>
                </a:spcBef>
                <a:spcAft>
                  <a:spcPct val="0"/>
                </a:spcAft>
                <a:buClrTx/>
                <a:buSzTx/>
                <a:buFontTx/>
                <a:buNone/>
                <a:tabLst/>
              </a:pPr>
              <a:endParaRPr kumimoji="0" lang="en-GB" sz="1600" b="0" i="0" u="none" strike="noStrike" cap="none" normalizeH="0" baseline="0">
                <a:ln>
                  <a:noFill/>
                </a:ln>
                <a:solidFill>
                  <a:schemeClr val="tx1"/>
                </a:solidFill>
                <a:effectLst/>
                <a:latin typeface="Arial" panose="020B0604020202020204" pitchFamily="34" charset="0"/>
                <a:ea typeface="ＭＳ Ｐゴシック" pitchFamily="-80" charset="-128"/>
              </a:endParaRPr>
            </a:p>
          </xdr:txBody>
        </xdr:sp>
        <xdr:sp macro="" textlink="">
          <xdr:nvSpPr>
            <xdr:cNvPr id="19" name="Logo color">
              <a:extLst>
                <a:ext uri="{FF2B5EF4-FFF2-40B4-BE49-F238E27FC236}">
                  <a16:creationId xmlns:a16="http://schemas.microsoft.com/office/drawing/2014/main" id="{1C615989-D75E-4D3D-B7C1-C20D49545B96}"/>
                </a:ext>
              </a:extLst>
            </xdr:cNvPr>
            <xdr:cNvSpPr>
              <a:spLocks noChangeAspect="1"/>
            </xdr:cNvSpPr>
          </xdr:nvSpPr>
          <xdr:spPr bwMode="auto">
            <a:xfrm>
              <a:off x="5351924" y="4125225"/>
              <a:ext cx="468977" cy="684000"/>
            </a:xfrm>
            <a:custGeom>
              <a:avLst/>
              <a:gdLst>
                <a:gd name="connsiteX0" fmla="*/ 1050029 w 4933949"/>
                <a:gd name="connsiteY0" fmla="*/ 6094413 h 7196138"/>
                <a:gd name="connsiteX1" fmla="*/ 3883920 w 4933949"/>
                <a:gd name="connsiteY1" fmla="*/ 6094413 h 7196138"/>
                <a:gd name="connsiteX2" fmla="*/ 4933949 w 4933949"/>
                <a:gd name="connsiteY2" fmla="*/ 6645934 h 7196138"/>
                <a:gd name="connsiteX3" fmla="*/ 3883920 w 4933949"/>
                <a:gd name="connsiteY3" fmla="*/ 7196138 h 7196138"/>
                <a:gd name="connsiteX4" fmla="*/ 1050029 w 4933949"/>
                <a:gd name="connsiteY4" fmla="*/ 7196138 h 7196138"/>
                <a:gd name="connsiteX5" fmla="*/ 0 w 4933949"/>
                <a:gd name="connsiteY5" fmla="*/ 6645934 h 7196138"/>
                <a:gd name="connsiteX6" fmla="*/ 1050029 w 4933949"/>
                <a:gd name="connsiteY6" fmla="*/ 6094413 h 7196138"/>
                <a:gd name="connsiteX7" fmla="*/ 1050029 w 4933949"/>
                <a:gd name="connsiteY7" fmla="*/ 4730750 h 7196138"/>
                <a:gd name="connsiteX8" fmla="*/ 3883920 w 4933949"/>
                <a:gd name="connsiteY8" fmla="*/ 4730750 h 7196138"/>
                <a:gd name="connsiteX9" fmla="*/ 4933949 w 4933949"/>
                <a:gd name="connsiteY9" fmla="*/ 5283066 h 7196138"/>
                <a:gd name="connsiteX10" fmla="*/ 3883920 w 4933949"/>
                <a:gd name="connsiteY10" fmla="*/ 5834063 h 7196138"/>
                <a:gd name="connsiteX11" fmla="*/ 1050029 w 4933949"/>
                <a:gd name="connsiteY11" fmla="*/ 5834063 h 7196138"/>
                <a:gd name="connsiteX12" fmla="*/ 0 w 4933949"/>
                <a:gd name="connsiteY12" fmla="*/ 5283066 h 7196138"/>
                <a:gd name="connsiteX13" fmla="*/ 1050029 w 4933949"/>
                <a:gd name="connsiteY13" fmla="*/ 4730750 h 7196138"/>
                <a:gd name="connsiteX14" fmla="*/ 1050029 w 4933949"/>
                <a:gd name="connsiteY14" fmla="*/ 3368675 h 7196138"/>
                <a:gd name="connsiteX15" fmla="*/ 3883920 w 4933949"/>
                <a:gd name="connsiteY15" fmla="*/ 3368675 h 7196138"/>
                <a:gd name="connsiteX16" fmla="*/ 4933949 w 4933949"/>
                <a:gd name="connsiteY16" fmla="*/ 3920991 h 7196138"/>
                <a:gd name="connsiteX17" fmla="*/ 3883920 w 4933949"/>
                <a:gd name="connsiteY17" fmla="*/ 4471988 h 7196138"/>
                <a:gd name="connsiteX18" fmla="*/ 1050029 w 4933949"/>
                <a:gd name="connsiteY18" fmla="*/ 4471988 h 7196138"/>
                <a:gd name="connsiteX19" fmla="*/ 0 w 4933949"/>
                <a:gd name="connsiteY19" fmla="*/ 3920991 h 7196138"/>
                <a:gd name="connsiteX20" fmla="*/ 1050029 w 4933949"/>
                <a:gd name="connsiteY20" fmla="*/ 3368675 h 7196138"/>
                <a:gd name="connsiteX21" fmla="*/ 678543 w 4933949"/>
                <a:gd name="connsiteY21" fmla="*/ 305710 h 7196138"/>
                <a:gd name="connsiteX22" fmla="*/ 678543 w 4933949"/>
                <a:gd name="connsiteY22" fmla="*/ 2307316 h 7196138"/>
                <a:gd name="connsiteX23" fmla="*/ 909109 w 4933949"/>
                <a:gd name="connsiteY23" fmla="*/ 2307316 h 7196138"/>
                <a:gd name="connsiteX24" fmla="*/ 1119911 w 4933949"/>
                <a:gd name="connsiteY24" fmla="*/ 2234842 h 7196138"/>
                <a:gd name="connsiteX25" fmla="*/ 1198962 w 4933949"/>
                <a:gd name="connsiteY25" fmla="*/ 1615517 h 7196138"/>
                <a:gd name="connsiteX26" fmla="*/ 1198962 w 4933949"/>
                <a:gd name="connsiteY26" fmla="*/ 996191 h 7196138"/>
                <a:gd name="connsiteX27" fmla="*/ 1119911 w 4933949"/>
                <a:gd name="connsiteY27" fmla="*/ 378184 h 7196138"/>
                <a:gd name="connsiteX28" fmla="*/ 909109 w 4933949"/>
                <a:gd name="connsiteY28" fmla="*/ 305710 h 7196138"/>
                <a:gd name="connsiteX29" fmla="*/ 678543 w 4933949"/>
                <a:gd name="connsiteY29" fmla="*/ 305710 h 7196138"/>
                <a:gd name="connsiteX30" fmla="*/ 1842869 w 4933949"/>
                <a:gd name="connsiteY30" fmla="*/ 0 h 7196138"/>
                <a:gd name="connsiteX31" fmla="*/ 3073618 w 4933949"/>
                <a:gd name="connsiteY31" fmla="*/ 0 h 7196138"/>
                <a:gd name="connsiteX32" fmla="*/ 3114467 w 4933949"/>
                <a:gd name="connsiteY32" fmla="*/ 14495 h 7196138"/>
                <a:gd name="connsiteX33" fmla="*/ 3128962 w 4933949"/>
                <a:gd name="connsiteY33" fmla="*/ 54027 h 7196138"/>
                <a:gd name="connsiteX34" fmla="*/ 3128962 w 4933949"/>
                <a:gd name="connsiteY34" fmla="*/ 275402 h 7196138"/>
                <a:gd name="connsiteX35" fmla="*/ 3114467 w 4933949"/>
                <a:gd name="connsiteY35" fmla="*/ 314934 h 7196138"/>
                <a:gd name="connsiteX36" fmla="*/ 3073618 w 4933949"/>
                <a:gd name="connsiteY36" fmla="*/ 329429 h 7196138"/>
                <a:gd name="connsiteX37" fmla="*/ 2679620 w 4933949"/>
                <a:gd name="connsiteY37" fmla="*/ 329429 h 7196138"/>
                <a:gd name="connsiteX38" fmla="*/ 2679620 w 4933949"/>
                <a:gd name="connsiteY38" fmla="*/ 2558999 h 7196138"/>
                <a:gd name="connsiteX39" fmla="*/ 2665125 w 4933949"/>
                <a:gd name="connsiteY39" fmla="*/ 2598530 h 7196138"/>
                <a:gd name="connsiteX40" fmla="*/ 2625594 w 4933949"/>
                <a:gd name="connsiteY40" fmla="*/ 2613025 h 7196138"/>
                <a:gd name="connsiteX41" fmla="*/ 2290893 w 4933949"/>
                <a:gd name="connsiteY41" fmla="*/ 2613025 h 7196138"/>
                <a:gd name="connsiteX42" fmla="*/ 2250044 w 4933949"/>
                <a:gd name="connsiteY42" fmla="*/ 2598530 h 7196138"/>
                <a:gd name="connsiteX43" fmla="*/ 2235549 w 4933949"/>
                <a:gd name="connsiteY43" fmla="*/ 2558999 h 7196138"/>
                <a:gd name="connsiteX44" fmla="*/ 2235549 w 4933949"/>
                <a:gd name="connsiteY44" fmla="*/ 329429 h 7196138"/>
                <a:gd name="connsiteX45" fmla="*/ 1842869 w 4933949"/>
                <a:gd name="connsiteY45" fmla="*/ 329429 h 7196138"/>
                <a:gd name="connsiteX46" fmla="*/ 1802020 w 4933949"/>
                <a:gd name="connsiteY46" fmla="*/ 314934 h 7196138"/>
                <a:gd name="connsiteX47" fmla="*/ 1787525 w 4933949"/>
                <a:gd name="connsiteY47" fmla="*/ 275402 h 7196138"/>
                <a:gd name="connsiteX48" fmla="*/ 1787525 w 4933949"/>
                <a:gd name="connsiteY48" fmla="*/ 54027 h 7196138"/>
                <a:gd name="connsiteX49" fmla="*/ 1802020 w 4933949"/>
                <a:gd name="connsiteY49" fmla="*/ 14495 h 7196138"/>
                <a:gd name="connsiteX50" fmla="*/ 1842869 w 4933949"/>
                <a:gd name="connsiteY50" fmla="*/ 0 h 7196138"/>
                <a:gd name="connsiteX51" fmla="*/ 317544 w 4933949"/>
                <a:gd name="connsiteY51" fmla="*/ 0 h 7196138"/>
                <a:gd name="connsiteX52" fmla="*/ 972349 w 4933949"/>
                <a:gd name="connsiteY52" fmla="*/ 0 h 7196138"/>
                <a:gd name="connsiteX53" fmla="*/ 1476958 w 4933949"/>
                <a:gd name="connsiteY53" fmla="*/ 179209 h 7196138"/>
                <a:gd name="connsiteX54" fmla="*/ 1619250 w 4933949"/>
                <a:gd name="connsiteY54" fmla="*/ 1025181 h 7196138"/>
                <a:gd name="connsiteX55" fmla="*/ 1619250 w 4933949"/>
                <a:gd name="connsiteY55" fmla="*/ 1587845 h 7196138"/>
                <a:gd name="connsiteX56" fmla="*/ 1476958 w 4933949"/>
                <a:gd name="connsiteY56" fmla="*/ 2433816 h 7196138"/>
                <a:gd name="connsiteX57" fmla="*/ 972349 w 4933949"/>
                <a:gd name="connsiteY57" fmla="*/ 2613025 h 7196138"/>
                <a:gd name="connsiteX58" fmla="*/ 317544 w 4933949"/>
                <a:gd name="connsiteY58" fmla="*/ 2613025 h 7196138"/>
                <a:gd name="connsiteX59" fmla="*/ 278018 w 4933949"/>
                <a:gd name="connsiteY59" fmla="*/ 2598530 h 7196138"/>
                <a:gd name="connsiteX60" fmla="*/ 263525 w 4933949"/>
                <a:gd name="connsiteY60" fmla="*/ 2558999 h 7196138"/>
                <a:gd name="connsiteX61" fmla="*/ 263525 w 4933949"/>
                <a:gd name="connsiteY61" fmla="*/ 54027 h 7196138"/>
                <a:gd name="connsiteX62" fmla="*/ 278018 w 4933949"/>
                <a:gd name="connsiteY62" fmla="*/ 14495 h 7196138"/>
                <a:gd name="connsiteX63" fmla="*/ 317544 w 4933949"/>
                <a:gd name="connsiteY63" fmla="*/ 0 h 7196138"/>
                <a:gd name="connsiteX64" fmla="*/ 3359213 w 4933949"/>
                <a:gd name="connsiteY64" fmla="*/ 0 h 7196138"/>
                <a:gd name="connsiteX65" fmla="*/ 3664991 w 4933949"/>
                <a:gd name="connsiteY65" fmla="*/ 0 h 7196138"/>
                <a:gd name="connsiteX66" fmla="*/ 3705850 w 4933949"/>
                <a:gd name="connsiteY66" fmla="*/ 14497 h 7196138"/>
                <a:gd name="connsiteX67" fmla="*/ 3720348 w 4933949"/>
                <a:gd name="connsiteY67" fmla="*/ 54035 h 7196138"/>
                <a:gd name="connsiteX68" fmla="*/ 3720348 w 4933949"/>
                <a:gd name="connsiteY68" fmla="*/ 1903062 h 7196138"/>
                <a:gd name="connsiteX69" fmla="*/ 3798111 w 4933949"/>
                <a:gd name="connsiteY69" fmla="*/ 2279984 h 7196138"/>
                <a:gd name="connsiteX70" fmla="*/ 3976042 w 4933949"/>
                <a:gd name="connsiteY70" fmla="*/ 2349833 h 7196138"/>
                <a:gd name="connsiteX71" fmla="*/ 4163200 w 4933949"/>
                <a:gd name="connsiteY71" fmla="*/ 2279984 h 7196138"/>
                <a:gd name="connsiteX72" fmla="*/ 4240963 w 4933949"/>
                <a:gd name="connsiteY72" fmla="*/ 1903062 h 7196138"/>
                <a:gd name="connsiteX73" fmla="*/ 4240963 w 4933949"/>
                <a:gd name="connsiteY73" fmla="*/ 54035 h 7196138"/>
                <a:gd name="connsiteX74" fmla="*/ 4255461 w 4933949"/>
                <a:gd name="connsiteY74" fmla="*/ 14497 h 7196138"/>
                <a:gd name="connsiteX75" fmla="*/ 4295001 w 4933949"/>
                <a:gd name="connsiteY75" fmla="*/ 0 h 7196138"/>
                <a:gd name="connsiteX76" fmla="*/ 4602098 w 4933949"/>
                <a:gd name="connsiteY76" fmla="*/ 0 h 7196138"/>
                <a:gd name="connsiteX77" fmla="*/ 4641638 w 4933949"/>
                <a:gd name="connsiteY77" fmla="*/ 14497 h 7196138"/>
                <a:gd name="connsiteX78" fmla="*/ 4656136 w 4933949"/>
                <a:gd name="connsiteY78" fmla="*/ 54035 h 7196138"/>
                <a:gd name="connsiteX79" fmla="*/ 4656136 w 4933949"/>
                <a:gd name="connsiteY79" fmla="*/ 1904380 h 7196138"/>
                <a:gd name="connsiteX80" fmla="*/ 4507201 w 4933949"/>
                <a:gd name="connsiteY80" fmla="*/ 2459220 h 7196138"/>
                <a:gd name="connsiteX81" fmla="*/ 3981314 w 4933949"/>
                <a:gd name="connsiteY81" fmla="*/ 2646363 h 7196138"/>
                <a:gd name="connsiteX82" fmla="*/ 3447519 w 4933949"/>
                <a:gd name="connsiteY82" fmla="*/ 2459220 h 7196138"/>
                <a:gd name="connsiteX83" fmla="*/ 3305174 w 4933949"/>
                <a:gd name="connsiteY83" fmla="*/ 1904380 h 7196138"/>
                <a:gd name="connsiteX84" fmla="*/ 3305174 w 4933949"/>
                <a:gd name="connsiteY84" fmla="*/ 54035 h 7196138"/>
                <a:gd name="connsiteX85" fmla="*/ 3318354 w 4933949"/>
                <a:gd name="connsiteY85" fmla="*/ 14497 h 7196138"/>
                <a:gd name="connsiteX86" fmla="*/ 3359213 w 4933949"/>
                <a:gd name="connsiteY86" fmla="*/ 0 h 71961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Lst>
              <a:rect l="l" t="t" r="r" b="b"/>
              <a:pathLst>
                <a:path w="4933949" h="7196138">
                  <a:moveTo>
                    <a:pt x="1050029" y="6094413"/>
                  </a:moveTo>
                  <a:cubicBezTo>
                    <a:pt x="2409664" y="6623557"/>
                    <a:pt x="2524285" y="6623557"/>
                    <a:pt x="3883920" y="6094413"/>
                  </a:cubicBezTo>
                  <a:cubicBezTo>
                    <a:pt x="3883920" y="6094413"/>
                    <a:pt x="3883920" y="6094413"/>
                    <a:pt x="4933949" y="6645934"/>
                  </a:cubicBezTo>
                  <a:cubicBezTo>
                    <a:pt x="4933949" y="6645934"/>
                    <a:pt x="4933949" y="6645934"/>
                    <a:pt x="3883920" y="7196138"/>
                  </a:cubicBezTo>
                  <a:cubicBezTo>
                    <a:pt x="2524285" y="6668311"/>
                    <a:pt x="2409664" y="6668311"/>
                    <a:pt x="1050029" y="7196138"/>
                  </a:cubicBezTo>
                  <a:cubicBezTo>
                    <a:pt x="1050029" y="7196138"/>
                    <a:pt x="1050029" y="7196138"/>
                    <a:pt x="0" y="6645934"/>
                  </a:cubicBezTo>
                  <a:cubicBezTo>
                    <a:pt x="0" y="6645934"/>
                    <a:pt x="0" y="6645934"/>
                    <a:pt x="1050029" y="6094413"/>
                  </a:cubicBezTo>
                  <a:close/>
                  <a:moveTo>
                    <a:pt x="1050029" y="4730750"/>
                  </a:moveTo>
                  <a:cubicBezTo>
                    <a:pt x="2409664" y="5260657"/>
                    <a:pt x="2524285" y="5260657"/>
                    <a:pt x="3883920" y="4730750"/>
                  </a:cubicBezTo>
                  <a:cubicBezTo>
                    <a:pt x="3883920" y="4730750"/>
                    <a:pt x="3883920" y="4730750"/>
                    <a:pt x="4933949" y="5283066"/>
                  </a:cubicBezTo>
                  <a:cubicBezTo>
                    <a:pt x="4933949" y="5283066"/>
                    <a:pt x="4933949" y="5283066"/>
                    <a:pt x="3883920" y="5834063"/>
                  </a:cubicBezTo>
                  <a:cubicBezTo>
                    <a:pt x="2524285" y="5305475"/>
                    <a:pt x="2409664" y="5305475"/>
                    <a:pt x="1050029" y="5834063"/>
                  </a:cubicBezTo>
                  <a:cubicBezTo>
                    <a:pt x="1050029" y="5834063"/>
                    <a:pt x="1050029" y="5834063"/>
                    <a:pt x="0" y="5283066"/>
                  </a:cubicBezTo>
                  <a:cubicBezTo>
                    <a:pt x="0" y="5283066"/>
                    <a:pt x="0" y="5283066"/>
                    <a:pt x="1050029" y="4730750"/>
                  </a:cubicBezTo>
                  <a:close/>
                  <a:moveTo>
                    <a:pt x="1050029" y="3368675"/>
                  </a:moveTo>
                  <a:cubicBezTo>
                    <a:pt x="2409664" y="3898582"/>
                    <a:pt x="2524285" y="3898582"/>
                    <a:pt x="3883920" y="3368675"/>
                  </a:cubicBezTo>
                  <a:cubicBezTo>
                    <a:pt x="3883920" y="3368675"/>
                    <a:pt x="3883920" y="3368675"/>
                    <a:pt x="4933949" y="3920991"/>
                  </a:cubicBezTo>
                  <a:cubicBezTo>
                    <a:pt x="4933949" y="3920991"/>
                    <a:pt x="4933949" y="3920991"/>
                    <a:pt x="3883920" y="4471988"/>
                  </a:cubicBezTo>
                  <a:cubicBezTo>
                    <a:pt x="2524285" y="3943400"/>
                    <a:pt x="2409664" y="3943400"/>
                    <a:pt x="1050029" y="4471988"/>
                  </a:cubicBezTo>
                  <a:cubicBezTo>
                    <a:pt x="1050029" y="4471988"/>
                    <a:pt x="1050029" y="4471988"/>
                    <a:pt x="0" y="3920991"/>
                  </a:cubicBezTo>
                  <a:cubicBezTo>
                    <a:pt x="0" y="3920991"/>
                    <a:pt x="0" y="3920991"/>
                    <a:pt x="1050029" y="3368675"/>
                  </a:cubicBezTo>
                  <a:close/>
                  <a:moveTo>
                    <a:pt x="678543" y="305710"/>
                  </a:moveTo>
                  <a:lnTo>
                    <a:pt x="678543" y="2307316"/>
                  </a:lnTo>
                  <a:cubicBezTo>
                    <a:pt x="678543" y="2307316"/>
                    <a:pt x="678543" y="2307316"/>
                    <a:pt x="909109" y="2307316"/>
                  </a:cubicBezTo>
                  <a:cubicBezTo>
                    <a:pt x="1011875" y="2307316"/>
                    <a:pt x="1072481" y="2291503"/>
                    <a:pt x="1119911" y="2234842"/>
                  </a:cubicBezTo>
                  <a:cubicBezTo>
                    <a:pt x="1192375" y="2147873"/>
                    <a:pt x="1198962" y="1971299"/>
                    <a:pt x="1198962" y="1615517"/>
                  </a:cubicBezTo>
                  <a:cubicBezTo>
                    <a:pt x="1198962" y="1615517"/>
                    <a:pt x="1198962" y="1615517"/>
                    <a:pt x="1198962" y="996191"/>
                  </a:cubicBezTo>
                  <a:cubicBezTo>
                    <a:pt x="1198962" y="641727"/>
                    <a:pt x="1192375" y="465153"/>
                    <a:pt x="1119911" y="378184"/>
                  </a:cubicBezTo>
                  <a:cubicBezTo>
                    <a:pt x="1072481" y="321522"/>
                    <a:pt x="1011875" y="305710"/>
                    <a:pt x="909109" y="305710"/>
                  </a:cubicBezTo>
                  <a:cubicBezTo>
                    <a:pt x="909109" y="305710"/>
                    <a:pt x="909109" y="305710"/>
                    <a:pt x="678543" y="305710"/>
                  </a:cubicBezTo>
                  <a:close/>
                  <a:moveTo>
                    <a:pt x="1842869" y="0"/>
                  </a:moveTo>
                  <a:cubicBezTo>
                    <a:pt x="1842869" y="0"/>
                    <a:pt x="1842869" y="0"/>
                    <a:pt x="3073618" y="0"/>
                  </a:cubicBezTo>
                  <a:cubicBezTo>
                    <a:pt x="3093384" y="0"/>
                    <a:pt x="3105243" y="5271"/>
                    <a:pt x="3114467" y="14495"/>
                  </a:cubicBezTo>
                  <a:cubicBezTo>
                    <a:pt x="3122374" y="22401"/>
                    <a:pt x="3128962" y="34261"/>
                    <a:pt x="3128962" y="54027"/>
                  </a:cubicBezTo>
                  <a:cubicBezTo>
                    <a:pt x="3128962" y="54027"/>
                    <a:pt x="3128962" y="54027"/>
                    <a:pt x="3128962" y="275402"/>
                  </a:cubicBezTo>
                  <a:cubicBezTo>
                    <a:pt x="3128962" y="295168"/>
                    <a:pt x="3122374" y="307028"/>
                    <a:pt x="3114467" y="314934"/>
                  </a:cubicBezTo>
                  <a:cubicBezTo>
                    <a:pt x="3105243" y="324158"/>
                    <a:pt x="3093384" y="329429"/>
                    <a:pt x="3073618" y="329429"/>
                  </a:cubicBezTo>
                  <a:cubicBezTo>
                    <a:pt x="3073618" y="329429"/>
                    <a:pt x="3073618" y="329429"/>
                    <a:pt x="2679620" y="329429"/>
                  </a:cubicBezTo>
                  <a:cubicBezTo>
                    <a:pt x="2679620" y="329429"/>
                    <a:pt x="2679620" y="329429"/>
                    <a:pt x="2679620" y="2558999"/>
                  </a:cubicBezTo>
                  <a:cubicBezTo>
                    <a:pt x="2679620" y="2578765"/>
                    <a:pt x="2674349" y="2590624"/>
                    <a:pt x="2665125" y="2598530"/>
                  </a:cubicBezTo>
                  <a:cubicBezTo>
                    <a:pt x="2657219" y="2607755"/>
                    <a:pt x="2645360" y="2613025"/>
                    <a:pt x="2625594" y="2613025"/>
                  </a:cubicBezTo>
                  <a:cubicBezTo>
                    <a:pt x="2625594" y="2613025"/>
                    <a:pt x="2625594" y="2613025"/>
                    <a:pt x="2290893" y="2613025"/>
                  </a:cubicBezTo>
                  <a:cubicBezTo>
                    <a:pt x="2271128" y="2613025"/>
                    <a:pt x="2259268" y="2607755"/>
                    <a:pt x="2250044" y="2598530"/>
                  </a:cubicBezTo>
                  <a:cubicBezTo>
                    <a:pt x="2240820" y="2590624"/>
                    <a:pt x="2235549" y="2578765"/>
                    <a:pt x="2235549" y="2558999"/>
                  </a:cubicBezTo>
                  <a:cubicBezTo>
                    <a:pt x="2235549" y="2558999"/>
                    <a:pt x="2235549" y="2558999"/>
                    <a:pt x="2235549" y="329429"/>
                  </a:cubicBezTo>
                  <a:cubicBezTo>
                    <a:pt x="2235549" y="329429"/>
                    <a:pt x="2235549" y="329429"/>
                    <a:pt x="1842869" y="329429"/>
                  </a:cubicBezTo>
                  <a:cubicBezTo>
                    <a:pt x="1823104" y="329429"/>
                    <a:pt x="1811244" y="324158"/>
                    <a:pt x="1802020" y="314934"/>
                  </a:cubicBezTo>
                  <a:cubicBezTo>
                    <a:pt x="1792796" y="307028"/>
                    <a:pt x="1787525" y="295168"/>
                    <a:pt x="1787525" y="275402"/>
                  </a:cubicBezTo>
                  <a:cubicBezTo>
                    <a:pt x="1787525" y="275402"/>
                    <a:pt x="1787525" y="275402"/>
                    <a:pt x="1787525" y="54027"/>
                  </a:cubicBezTo>
                  <a:cubicBezTo>
                    <a:pt x="1787525" y="34261"/>
                    <a:pt x="1792796" y="22401"/>
                    <a:pt x="1802020" y="14495"/>
                  </a:cubicBezTo>
                  <a:cubicBezTo>
                    <a:pt x="1811244" y="5271"/>
                    <a:pt x="1823104" y="0"/>
                    <a:pt x="1842869" y="0"/>
                  </a:cubicBezTo>
                  <a:close/>
                  <a:moveTo>
                    <a:pt x="317544" y="0"/>
                  </a:moveTo>
                  <a:cubicBezTo>
                    <a:pt x="317544" y="0"/>
                    <a:pt x="317544" y="0"/>
                    <a:pt x="972349" y="0"/>
                  </a:cubicBezTo>
                  <a:cubicBezTo>
                    <a:pt x="1226630" y="0"/>
                    <a:pt x="1382097" y="57980"/>
                    <a:pt x="1476958" y="179209"/>
                  </a:cubicBezTo>
                  <a:cubicBezTo>
                    <a:pt x="1615298" y="345241"/>
                    <a:pt x="1619250" y="614055"/>
                    <a:pt x="1619250" y="1025181"/>
                  </a:cubicBezTo>
                  <a:cubicBezTo>
                    <a:pt x="1619250" y="1025181"/>
                    <a:pt x="1619250" y="1025181"/>
                    <a:pt x="1619250" y="1587845"/>
                  </a:cubicBezTo>
                  <a:cubicBezTo>
                    <a:pt x="1619250" y="1998971"/>
                    <a:pt x="1615298" y="2267784"/>
                    <a:pt x="1476958" y="2433816"/>
                  </a:cubicBezTo>
                  <a:cubicBezTo>
                    <a:pt x="1382097" y="2555046"/>
                    <a:pt x="1226630" y="2613025"/>
                    <a:pt x="972349" y="2613025"/>
                  </a:cubicBezTo>
                  <a:cubicBezTo>
                    <a:pt x="972349" y="2613025"/>
                    <a:pt x="972349" y="2613025"/>
                    <a:pt x="317544" y="2613025"/>
                  </a:cubicBezTo>
                  <a:cubicBezTo>
                    <a:pt x="297781" y="2613025"/>
                    <a:pt x="285923" y="2607755"/>
                    <a:pt x="278018" y="2598530"/>
                  </a:cubicBezTo>
                  <a:cubicBezTo>
                    <a:pt x="268795" y="2590624"/>
                    <a:pt x="263525" y="2578765"/>
                    <a:pt x="263525" y="2558999"/>
                  </a:cubicBezTo>
                  <a:cubicBezTo>
                    <a:pt x="263525" y="2558999"/>
                    <a:pt x="263525" y="2558999"/>
                    <a:pt x="263525" y="54027"/>
                  </a:cubicBezTo>
                  <a:cubicBezTo>
                    <a:pt x="263525" y="34261"/>
                    <a:pt x="268795" y="22401"/>
                    <a:pt x="278018" y="14495"/>
                  </a:cubicBezTo>
                  <a:cubicBezTo>
                    <a:pt x="285923" y="5271"/>
                    <a:pt x="297781" y="0"/>
                    <a:pt x="317544" y="0"/>
                  </a:cubicBezTo>
                  <a:close/>
                  <a:moveTo>
                    <a:pt x="3359213" y="0"/>
                  </a:moveTo>
                  <a:cubicBezTo>
                    <a:pt x="3359213" y="0"/>
                    <a:pt x="3359213" y="0"/>
                    <a:pt x="3664991" y="0"/>
                  </a:cubicBezTo>
                  <a:cubicBezTo>
                    <a:pt x="3684762" y="0"/>
                    <a:pt x="3696624" y="5272"/>
                    <a:pt x="3705850" y="14497"/>
                  </a:cubicBezTo>
                  <a:cubicBezTo>
                    <a:pt x="3715076" y="22405"/>
                    <a:pt x="3720348" y="34266"/>
                    <a:pt x="3720348" y="54035"/>
                  </a:cubicBezTo>
                  <a:cubicBezTo>
                    <a:pt x="3720348" y="54035"/>
                    <a:pt x="3720348" y="54035"/>
                    <a:pt x="3720348" y="1903062"/>
                  </a:cubicBezTo>
                  <a:cubicBezTo>
                    <a:pt x="3720348" y="2103384"/>
                    <a:pt x="3738800" y="2214089"/>
                    <a:pt x="3798111" y="2279984"/>
                  </a:cubicBezTo>
                  <a:cubicBezTo>
                    <a:pt x="3841605" y="2328747"/>
                    <a:pt x="3899597" y="2349833"/>
                    <a:pt x="3976042" y="2349833"/>
                  </a:cubicBezTo>
                  <a:cubicBezTo>
                    <a:pt x="4060395" y="2349833"/>
                    <a:pt x="4121023" y="2326111"/>
                    <a:pt x="4163200" y="2279984"/>
                  </a:cubicBezTo>
                  <a:cubicBezTo>
                    <a:pt x="4226464" y="2211453"/>
                    <a:pt x="4240963" y="2096795"/>
                    <a:pt x="4240963" y="1903062"/>
                  </a:cubicBezTo>
                  <a:cubicBezTo>
                    <a:pt x="4240963" y="1903062"/>
                    <a:pt x="4240963" y="1903062"/>
                    <a:pt x="4240963" y="54035"/>
                  </a:cubicBezTo>
                  <a:cubicBezTo>
                    <a:pt x="4240963" y="34266"/>
                    <a:pt x="4246235" y="22405"/>
                    <a:pt x="4255461" y="14497"/>
                  </a:cubicBezTo>
                  <a:cubicBezTo>
                    <a:pt x="4263369" y="5272"/>
                    <a:pt x="4276549" y="0"/>
                    <a:pt x="4295001" y="0"/>
                  </a:cubicBezTo>
                  <a:cubicBezTo>
                    <a:pt x="4295001" y="0"/>
                    <a:pt x="4295001" y="0"/>
                    <a:pt x="4602098" y="0"/>
                  </a:cubicBezTo>
                  <a:cubicBezTo>
                    <a:pt x="4621868" y="0"/>
                    <a:pt x="4633730" y="5272"/>
                    <a:pt x="4641638" y="14497"/>
                  </a:cubicBezTo>
                  <a:cubicBezTo>
                    <a:pt x="4650864" y="22405"/>
                    <a:pt x="4656136" y="34266"/>
                    <a:pt x="4656136" y="54035"/>
                  </a:cubicBezTo>
                  <a:cubicBezTo>
                    <a:pt x="4656136" y="54035"/>
                    <a:pt x="4656136" y="54035"/>
                    <a:pt x="4656136" y="1904380"/>
                  </a:cubicBezTo>
                  <a:cubicBezTo>
                    <a:pt x="4656136" y="2153465"/>
                    <a:pt x="4627140" y="2319521"/>
                    <a:pt x="4507201" y="2459220"/>
                  </a:cubicBezTo>
                  <a:cubicBezTo>
                    <a:pt x="4405714" y="2577832"/>
                    <a:pt x="4239645" y="2646363"/>
                    <a:pt x="3981314" y="2646363"/>
                  </a:cubicBezTo>
                  <a:cubicBezTo>
                    <a:pt x="3726938" y="2646363"/>
                    <a:pt x="3559550" y="2581786"/>
                    <a:pt x="3447519" y="2459220"/>
                  </a:cubicBezTo>
                  <a:cubicBezTo>
                    <a:pt x="3340760" y="2341926"/>
                    <a:pt x="3305174" y="2173233"/>
                    <a:pt x="3305174" y="1904380"/>
                  </a:cubicBezTo>
                  <a:cubicBezTo>
                    <a:pt x="3305174" y="1904380"/>
                    <a:pt x="3305174" y="1904380"/>
                    <a:pt x="3305174" y="54035"/>
                  </a:cubicBezTo>
                  <a:cubicBezTo>
                    <a:pt x="3305174" y="34266"/>
                    <a:pt x="3310446" y="22405"/>
                    <a:pt x="3318354" y="14497"/>
                  </a:cubicBezTo>
                  <a:cubicBezTo>
                    <a:pt x="3327580" y="5272"/>
                    <a:pt x="3339442" y="0"/>
                    <a:pt x="3359213" y="0"/>
                  </a:cubicBezTo>
                  <a:close/>
                </a:path>
              </a:pathLst>
            </a:custGeom>
            <a:solidFill>
              <a:srgbClr val="FFFFFF"/>
            </a:solidFill>
            <a:ln>
              <a:noFill/>
            </a:ln>
          </xdr:spPr>
          <xdr:txBody>
            <a:bodyPr vert="horz" wrap="square" lIns="91440" tIns="45720" rIns="91440" bIns="45720" numCol="1" anchor="t" anchorCtr="0" compatLnSpc="1">
              <a:prstTxWarp prst="textNoShape">
                <a:avLst/>
              </a:prstTxWarp>
              <a:noAutofit/>
            </a:bodyPr>
            <a:lstStyle>
              <a:defPPr>
                <a:defRPr lang="da-DK"/>
              </a:defPPr>
              <a:lvl1pPr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1pPr>
              <a:lvl2pPr marL="4572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2pPr>
              <a:lvl3pPr marL="9144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3pPr>
              <a:lvl4pPr marL="13716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4pPr>
              <a:lvl5pPr marL="18288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5pPr>
              <a:lvl6pPr marL="2286000" algn="l" defTabSz="914400" rtl="0" eaLnBrk="1" latinLnBrk="0" hangingPunct="1">
                <a:defRPr sz="1600" kern="1200">
                  <a:solidFill>
                    <a:schemeClr val="tx1"/>
                  </a:solidFill>
                  <a:latin typeface="Verdana" pitchFamily="34" charset="0"/>
                  <a:ea typeface="ＭＳ Ｐゴシック" pitchFamily="-80" charset="-128"/>
                  <a:cs typeface="+mn-cs"/>
                </a:defRPr>
              </a:lvl6pPr>
              <a:lvl7pPr marL="2743200" algn="l" defTabSz="914400" rtl="0" eaLnBrk="1" latinLnBrk="0" hangingPunct="1">
                <a:defRPr sz="1600" kern="1200">
                  <a:solidFill>
                    <a:schemeClr val="tx1"/>
                  </a:solidFill>
                  <a:latin typeface="Verdana" pitchFamily="34" charset="0"/>
                  <a:ea typeface="ＭＳ Ｐゴシック" pitchFamily="-80" charset="-128"/>
                  <a:cs typeface="+mn-cs"/>
                </a:defRPr>
              </a:lvl7pPr>
              <a:lvl8pPr marL="3200400" algn="l" defTabSz="914400" rtl="0" eaLnBrk="1" latinLnBrk="0" hangingPunct="1">
                <a:defRPr sz="1600" kern="1200">
                  <a:solidFill>
                    <a:schemeClr val="tx1"/>
                  </a:solidFill>
                  <a:latin typeface="Verdana" pitchFamily="34" charset="0"/>
                  <a:ea typeface="ＭＳ Ｐゴシック" pitchFamily="-80" charset="-128"/>
                  <a:cs typeface="+mn-cs"/>
                </a:defRPr>
              </a:lvl8pPr>
              <a:lvl9pPr marL="3657600" algn="l" defTabSz="914400" rtl="0" eaLnBrk="1" latinLnBrk="0" hangingPunct="1">
                <a:defRPr sz="1600" kern="1200">
                  <a:solidFill>
                    <a:schemeClr val="tx1"/>
                  </a:solidFill>
                  <a:latin typeface="Verdana" pitchFamily="34" charset="0"/>
                  <a:ea typeface="ＭＳ Ｐゴシック" pitchFamily="-80" charset="-128"/>
                  <a:cs typeface="+mn-cs"/>
                </a:defRPr>
              </a:lvl9pPr>
            </a:lstStyle>
            <a:p>
              <a:endParaRPr lang="en-GB"/>
            </a:p>
          </xdr:txBody>
        </xdr: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8</xdr:row>
      <xdr:rowOff>114300</xdr:rowOff>
    </xdr:from>
    <xdr:to>
      <xdr:col>9</xdr:col>
      <xdr:colOff>273600</xdr:colOff>
      <xdr:row>26</xdr:row>
      <xdr:rowOff>178462</xdr:rowOff>
    </xdr:to>
    <xdr:pic>
      <xdr:nvPicPr>
        <xdr:cNvPr id="2" name="Billede 1">
          <a:extLst>
            <a:ext uri="{FF2B5EF4-FFF2-40B4-BE49-F238E27FC236}">
              <a16:creationId xmlns:a16="http://schemas.microsoft.com/office/drawing/2014/main" id="{043C9E7C-D985-D208-2D9E-1314716F6835}"/>
            </a:ext>
          </a:extLst>
        </xdr:cNvPr>
        <xdr:cNvPicPr>
          <a:picLocks noChangeAspect="1"/>
        </xdr:cNvPicPr>
      </xdr:nvPicPr>
      <xdr:blipFill>
        <a:blip xmlns:r="http://schemas.openxmlformats.org/officeDocument/2006/relationships" r:embed="rId1"/>
        <a:stretch>
          <a:fillRect/>
        </a:stretch>
      </xdr:blipFill>
      <xdr:spPr>
        <a:xfrm>
          <a:off x="0" y="1638300"/>
          <a:ext cx="5760000" cy="3493162"/>
        </a:xfrm>
        <a:prstGeom prst="rect">
          <a:avLst/>
        </a:prstGeom>
      </xdr:spPr>
    </xdr:pic>
    <xdr:clientData/>
  </xdr:twoCellAnchor>
  <xdr:twoCellAnchor editAs="oneCell">
    <xdr:from>
      <xdr:col>9</xdr:col>
      <xdr:colOff>295275</xdr:colOff>
      <xdr:row>0</xdr:row>
      <xdr:rowOff>8</xdr:rowOff>
    </xdr:from>
    <xdr:to>
      <xdr:col>18</xdr:col>
      <xdr:colOff>568875</xdr:colOff>
      <xdr:row>39</xdr:row>
      <xdr:rowOff>38461</xdr:rowOff>
    </xdr:to>
    <xdr:pic>
      <xdr:nvPicPr>
        <xdr:cNvPr id="3" name="Billede 2">
          <a:extLst>
            <a:ext uri="{FF2B5EF4-FFF2-40B4-BE49-F238E27FC236}">
              <a16:creationId xmlns:a16="http://schemas.microsoft.com/office/drawing/2014/main" id="{5C474DCD-847D-2774-8783-A224C41557C9}"/>
            </a:ext>
          </a:extLst>
        </xdr:cNvPr>
        <xdr:cNvPicPr>
          <a:picLocks noChangeAspect="1"/>
        </xdr:cNvPicPr>
      </xdr:nvPicPr>
      <xdr:blipFill>
        <a:blip xmlns:r="http://schemas.openxmlformats.org/officeDocument/2006/relationships" r:embed="rId2"/>
        <a:stretch>
          <a:fillRect/>
        </a:stretch>
      </xdr:blipFill>
      <xdr:spPr>
        <a:xfrm>
          <a:off x="5781675" y="8"/>
          <a:ext cx="5760000" cy="7467953"/>
        </a:xfrm>
        <a:prstGeom prst="rect">
          <a:avLst/>
        </a:prstGeom>
      </xdr:spPr>
    </xdr:pic>
    <xdr:clientData/>
  </xdr:twoCellAnchor>
  <xdr:twoCellAnchor editAs="oneCell">
    <xdr:from>
      <xdr:col>0</xdr:col>
      <xdr:colOff>9525</xdr:colOff>
      <xdr:row>0</xdr:row>
      <xdr:rowOff>19050</xdr:rowOff>
    </xdr:from>
    <xdr:to>
      <xdr:col>9</xdr:col>
      <xdr:colOff>283125</xdr:colOff>
      <xdr:row>8</xdr:row>
      <xdr:rowOff>93474</xdr:rowOff>
    </xdr:to>
    <xdr:pic>
      <xdr:nvPicPr>
        <xdr:cNvPr id="4" name="Billede 3">
          <a:extLst>
            <a:ext uri="{FF2B5EF4-FFF2-40B4-BE49-F238E27FC236}">
              <a16:creationId xmlns:a16="http://schemas.microsoft.com/office/drawing/2014/main" id="{7638B02F-60FE-10D1-33CC-05F55752A246}"/>
            </a:ext>
          </a:extLst>
        </xdr:cNvPr>
        <xdr:cNvPicPr>
          <a:picLocks noChangeAspect="1"/>
        </xdr:cNvPicPr>
      </xdr:nvPicPr>
      <xdr:blipFill>
        <a:blip xmlns:r="http://schemas.openxmlformats.org/officeDocument/2006/relationships" r:embed="rId3"/>
        <a:stretch>
          <a:fillRect/>
        </a:stretch>
      </xdr:blipFill>
      <xdr:spPr>
        <a:xfrm>
          <a:off x="9525" y="19050"/>
          <a:ext cx="5760000" cy="1598424"/>
        </a:xfrm>
        <a:prstGeom prst="rect">
          <a:avLst/>
        </a:prstGeom>
      </xdr:spPr>
    </xdr:pic>
    <xdr:clientData/>
  </xdr:twoCellAnchor>
  <xdr:twoCellAnchor editAs="oneCell">
    <xdr:from>
      <xdr:col>0</xdr:col>
      <xdr:colOff>361950</xdr:colOff>
      <xdr:row>27</xdr:row>
      <xdr:rowOff>47626</xdr:rowOff>
    </xdr:from>
    <xdr:to>
      <xdr:col>9</xdr:col>
      <xdr:colOff>28575</xdr:colOff>
      <xdr:row>40</xdr:row>
      <xdr:rowOff>44578</xdr:rowOff>
    </xdr:to>
    <xdr:pic>
      <xdr:nvPicPr>
        <xdr:cNvPr id="5" name="Billede 4">
          <a:extLst>
            <a:ext uri="{FF2B5EF4-FFF2-40B4-BE49-F238E27FC236}">
              <a16:creationId xmlns:a16="http://schemas.microsoft.com/office/drawing/2014/main" id="{222E7336-9A56-372E-D2F4-3DCE908DDCAD}"/>
            </a:ext>
          </a:extLst>
        </xdr:cNvPr>
        <xdr:cNvPicPr>
          <a:picLocks noChangeAspect="1"/>
        </xdr:cNvPicPr>
      </xdr:nvPicPr>
      <xdr:blipFill>
        <a:blip xmlns:r="http://schemas.openxmlformats.org/officeDocument/2006/relationships" r:embed="rId4"/>
        <a:stretch>
          <a:fillRect/>
        </a:stretch>
      </xdr:blipFill>
      <xdr:spPr>
        <a:xfrm>
          <a:off x="361950" y="5191126"/>
          <a:ext cx="5153025" cy="2473452"/>
        </a:xfrm>
        <a:prstGeom prst="rect">
          <a:avLst/>
        </a:prstGeom>
      </xdr:spPr>
    </xdr:pic>
    <xdr:clientData/>
  </xdr:twoCellAnchor>
  <xdr:twoCellAnchor editAs="oneCell">
    <xdr:from>
      <xdr:col>19</xdr:col>
      <xdr:colOff>0</xdr:colOff>
      <xdr:row>0</xdr:row>
      <xdr:rowOff>0</xdr:rowOff>
    </xdr:from>
    <xdr:to>
      <xdr:col>27</xdr:col>
      <xdr:colOff>355600</xdr:colOff>
      <xdr:row>6</xdr:row>
      <xdr:rowOff>87132</xdr:rowOff>
    </xdr:to>
    <xdr:pic>
      <xdr:nvPicPr>
        <xdr:cNvPr id="6" name="Billede 5">
          <a:extLst>
            <a:ext uri="{FF2B5EF4-FFF2-40B4-BE49-F238E27FC236}">
              <a16:creationId xmlns:a16="http://schemas.microsoft.com/office/drawing/2014/main" id="{697F90F0-AA5F-4293-AF18-87984DADD8D9}"/>
            </a:ext>
          </a:extLst>
        </xdr:cNvPr>
        <xdr:cNvPicPr>
          <a:picLocks noChangeAspect="1"/>
        </xdr:cNvPicPr>
      </xdr:nvPicPr>
      <xdr:blipFill>
        <a:blip xmlns:r="http://schemas.openxmlformats.org/officeDocument/2006/relationships" r:embed="rId5"/>
        <a:stretch>
          <a:fillRect/>
        </a:stretch>
      </xdr:blipFill>
      <xdr:spPr>
        <a:xfrm>
          <a:off x="12192000" y="0"/>
          <a:ext cx="5232400" cy="1230132"/>
        </a:xfrm>
        <a:prstGeom prst="rect">
          <a:avLst/>
        </a:prstGeom>
        <a:ln>
          <a:solidFill>
            <a:schemeClr val="tx1">
              <a:lumMod val="25000"/>
              <a:lumOff val="75000"/>
            </a:schemeClr>
          </a:solidFill>
        </a:ln>
      </xdr:spPr>
    </xdr:pic>
    <xdr:clientData/>
  </xdr:twoCellAnchor>
  <xdr:twoCellAnchor>
    <xdr:from>
      <xdr:col>19</xdr:col>
      <xdr:colOff>0</xdr:colOff>
      <xdr:row>6</xdr:row>
      <xdr:rowOff>77406</xdr:rowOff>
    </xdr:from>
    <xdr:to>
      <xdr:col>27</xdr:col>
      <xdr:colOff>355601</xdr:colOff>
      <xdr:row>24</xdr:row>
      <xdr:rowOff>136143</xdr:rowOff>
    </xdr:to>
    <xdr:graphicFrame macro="">
      <xdr:nvGraphicFramePr>
        <xdr:cNvPr id="7" name="Diagram 6">
          <a:extLst>
            <a:ext uri="{FF2B5EF4-FFF2-40B4-BE49-F238E27FC236}">
              <a16:creationId xmlns:a16="http://schemas.microsoft.com/office/drawing/2014/main" id="{8C182FB8-C99B-4FBF-87E7-8A53A3D78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0.45328</cdr:x>
      <cdr:y>0.19082</cdr:y>
    </cdr:from>
    <cdr:to>
      <cdr:x>0.75546</cdr:x>
      <cdr:y>0.26729</cdr:y>
    </cdr:to>
    <cdr:sp macro="" textlink="">
      <cdr:nvSpPr>
        <cdr:cNvPr id="2" name="Tekstfelt 1">
          <a:extLst xmlns:a="http://schemas.openxmlformats.org/drawingml/2006/main">
            <a:ext uri="{FF2B5EF4-FFF2-40B4-BE49-F238E27FC236}">
              <a16:creationId xmlns:a16="http://schemas.microsoft.com/office/drawing/2014/main" id="{BBC99F85-1E1B-3480-4F31-84E4751C52C8}"/>
            </a:ext>
          </a:extLst>
        </cdr:cNvPr>
        <cdr:cNvSpPr txBox="1"/>
      </cdr:nvSpPr>
      <cdr:spPr>
        <a:xfrm xmlns:a="http://schemas.openxmlformats.org/drawingml/2006/main" rot="19707116">
          <a:off x="2371725" y="665544"/>
          <a:ext cx="1581150"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100" i="1" kern="1200">
              <a:solidFill>
                <a:srgbClr val="FF0000"/>
              </a:solidFill>
            </a:rPr>
            <a:t>logK</a:t>
          </a:r>
          <a:r>
            <a:rPr lang="da-DK" sz="1100" i="1" kern="1200" baseline="-25000">
              <a:solidFill>
                <a:srgbClr val="FF0000"/>
              </a:solidFill>
            </a:rPr>
            <a:t>ia</a:t>
          </a:r>
          <a:r>
            <a:rPr lang="da-DK" sz="1100" kern="1200">
              <a:solidFill>
                <a:srgbClr val="FF0000"/>
              </a:solidFill>
            </a:rPr>
            <a:t> = 0,021·</a:t>
          </a:r>
          <a:r>
            <a:rPr lang="da-DK" sz="1100" i="1" kern="1200">
              <a:solidFill>
                <a:srgbClr val="FF0000"/>
              </a:solidFill>
            </a:rPr>
            <a:t>V</a:t>
          </a:r>
          <a:r>
            <a:rPr lang="da-DK" sz="1100" i="1" kern="1200" baseline="-25000">
              <a:solidFill>
                <a:srgbClr val="FF0000"/>
              </a:solidFill>
            </a:rPr>
            <a:t>m </a:t>
          </a:r>
          <a:r>
            <a:rPr lang="da-DK" sz="1100" kern="1200">
              <a:solidFill>
                <a:srgbClr val="FF0000"/>
              </a:solidFill>
            </a:rPr>
            <a:t>- 6,65</a:t>
          </a:r>
        </a:p>
      </cdr:txBody>
    </cdr:sp>
  </cdr:relSizeAnchor>
  <cdr:relSizeAnchor xmlns:cdr="http://schemas.openxmlformats.org/drawingml/2006/chartDrawing">
    <cdr:from>
      <cdr:x>0.6432</cdr:x>
      <cdr:y>0.36686</cdr:y>
    </cdr:from>
    <cdr:to>
      <cdr:x>0.94539</cdr:x>
      <cdr:y>0.44333</cdr:y>
    </cdr:to>
    <cdr:sp macro="" textlink="">
      <cdr:nvSpPr>
        <cdr:cNvPr id="3" name="Tekstfelt 1">
          <a:extLst xmlns:a="http://schemas.openxmlformats.org/drawingml/2006/main">
            <a:ext uri="{FF2B5EF4-FFF2-40B4-BE49-F238E27FC236}">
              <a16:creationId xmlns:a16="http://schemas.microsoft.com/office/drawing/2014/main" id="{F38C3C0A-76C8-AE47-8296-9064584AA9CB}"/>
            </a:ext>
          </a:extLst>
        </cdr:cNvPr>
        <cdr:cNvSpPr txBox="1"/>
      </cdr:nvSpPr>
      <cdr:spPr>
        <a:xfrm xmlns:a="http://schemas.openxmlformats.org/drawingml/2006/main" rot="19961328">
          <a:off x="3365500" y="1279526"/>
          <a:ext cx="1581150" cy="2667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i="1" kern="1200">
              <a:solidFill>
                <a:srgbClr val="0070C0"/>
              </a:solidFill>
            </a:rPr>
            <a:t>logK</a:t>
          </a:r>
          <a:r>
            <a:rPr lang="da-DK" sz="1100" i="1" kern="1200" baseline="-25000">
              <a:solidFill>
                <a:srgbClr val="0070C0"/>
              </a:solidFill>
            </a:rPr>
            <a:t>ia</a:t>
          </a:r>
          <a:r>
            <a:rPr lang="da-DK" sz="1100" kern="1200">
              <a:solidFill>
                <a:srgbClr val="0070C0"/>
              </a:solidFill>
            </a:rPr>
            <a:t> = 0,017·</a:t>
          </a:r>
          <a:r>
            <a:rPr lang="da-DK" sz="1100" i="1" kern="1200">
              <a:solidFill>
                <a:srgbClr val="0070C0"/>
              </a:solidFill>
            </a:rPr>
            <a:t>V</a:t>
          </a:r>
          <a:r>
            <a:rPr lang="da-DK" sz="1100" i="1" kern="1200" baseline="-25000">
              <a:solidFill>
                <a:srgbClr val="0070C0"/>
              </a:solidFill>
            </a:rPr>
            <a:t>m </a:t>
          </a:r>
          <a:r>
            <a:rPr lang="da-DK" sz="1100" kern="1200">
              <a:solidFill>
                <a:srgbClr val="0070C0"/>
              </a:solidFill>
            </a:rPr>
            <a:t>- 7,55</a:t>
          </a:r>
        </a:p>
      </cdr:txBody>
    </cdr:sp>
  </cdr:relSizeAnchor>
  <cdr:relSizeAnchor xmlns:cdr="http://schemas.openxmlformats.org/drawingml/2006/chartDrawing">
    <cdr:from>
      <cdr:x>0.66323</cdr:x>
      <cdr:y>0.22212</cdr:y>
    </cdr:from>
    <cdr:to>
      <cdr:x>0.96541</cdr:x>
      <cdr:y>0.29859</cdr:y>
    </cdr:to>
    <cdr:sp macro="" textlink="">
      <cdr:nvSpPr>
        <cdr:cNvPr id="4" name="Tekstfelt 1">
          <a:extLst xmlns:a="http://schemas.openxmlformats.org/drawingml/2006/main">
            <a:ext uri="{FF2B5EF4-FFF2-40B4-BE49-F238E27FC236}">
              <a16:creationId xmlns:a16="http://schemas.microsoft.com/office/drawing/2014/main" id="{816C67A0-7CEE-6F6D-F8C9-79169DD6AF8D}"/>
            </a:ext>
          </a:extLst>
        </cdr:cNvPr>
        <cdr:cNvSpPr txBox="1"/>
      </cdr:nvSpPr>
      <cdr:spPr>
        <a:xfrm xmlns:a="http://schemas.openxmlformats.org/drawingml/2006/main" rot="19900582">
          <a:off x="3470275" y="774700"/>
          <a:ext cx="1581150" cy="2667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i="1" kern="1200">
              <a:solidFill>
                <a:schemeClr val="tx1"/>
              </a:solidFill>
            </a:rPr>
            <a:t>logK</a:t>
          </a:r>
          <a:r>
            <a:rPr lang="da-DK" sz="1100" i="1" kern="1200" baseline="-25000">
              <a:solidFill>
                <a:schemeClr val="tx1"/>
              </a:solidFill>
            </a:rPr>
            <a:t>ia</a:t>
          </a:r>
          <a:r>
            <a:rPr lang="da-DK" sz="1100" kern="1200">
              <a:solidFill>
                <a:schemeClr val="tx1"/>
              </a:solidFill>
            </a:rPr>
            <a:t> = 0,019·</a:t>
          </a:r>
          <a:r>
            <a:rPr lang="da-DK" sz="1100" i="1" kern="1200">
              <a:solidFill>
                <a:schemeClr val="tx1"/>
              </a:solidFill>
            </a:rPr>
            <a:t>V</a:t>
          </a:r>
          <a:r>
            <a:rPr lang="da-DK" sz="1100" i="1" kern="1200" baseline="-25000">
              <a:solidFill>
                <a:schemeClr val="tx1"/>
              </a:solidFill>
            </a:rPr>
            <a:t>m </a:t>
          </a:r>
          <a:r>
            <a:rPr lang="da-DK" sz="1100" kern="1200">
              <a:solidFill>
                <a:schemeClr val="tx1"/>
              </a:solidFill>
            </a:rPr>
            <a:t>- 7,1</a:t>
          </a:r>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0</xdr:col>
      <xdr:colOff>9524</xdr:colOff>
      <xdr:row>18</xdr:row>
      <xdr:rowOff>57150</xdr:rowOff>
    </xdr:from>
    <xdr:to>
      <xdr:col>10</xdr:col>
      <xdr:colOff>465524</xdr:colOff>
      <xdr:row>38</xdr:row>
      <xdr:rowOff>17457</xdr:rowOff>
    </xdr:to>
    <xdr:pic>
      <xdr:nvPicPr>
        <xdr:cNvPr id="9" name="Billede 8">
          <a:extLst>
            <a:ext uri="{FF2B5EF4-FFF2-40B4-BE49-F238E27FC236}">
              <a16:creationId xmlns:a16="http://schemas.microsoft.com/office/drawing/2014/main" id="{2C9BB871-A192-ACC7-E74D-5842B454C1F4}"/>
            </a:ext>
          </a:extLst>
        </xdr:cNvPr>
        <xdr:cNvPicPr>
          <a:picLocks noChangeAspect="1"/>
        </xdr:cNvPicPr>
      </xdr:nvPicPr>
      <xdr:blipFill>
        <a:blip xmlns:r="http://schemas.openxmlformats.org/officeDocument/2006/relationships" r:embed="rId1"/>
        <a:stretch>
          <a:fillRect/>
        </a:stretch>
      </xdr:blipFill>
      <xdr:spPr>
        <a:xfrm>
          <a:off x="9524" y="3486150"/>
          <a:ext cx="6552000" cy="3770307"/>
        </a:xfrm>
        <a:prstGeom prst="rect">
          <a:avLst/>
        </a:prstGeom>
      </xdr:spPr>
    </xdr:pic>
    <xdr:clientData/>
  </xdr:twoCellAnchor>
  <xdr:twoCellAnchor editAs="oneCell">
    <xdr:from>
      <xdr:col>0</xdr:col>
      <xdr:colOff>28573</xdr:colOff>
      <xdr:row>60</xdr:row>
      <xdr:rowOff>152399</xdr:rowOff>
    </xdr:from>
    <xdr:to>
      <xdr:col>10</xdr:col>
      <xdr:colOff>484573</xdr:colOff>
      <xdr:row>80</xdr:row>
      <xdr:rowOff>47034</xdr:rowOff>
    </xdr:to>
    <xdr:pic>
      <xdr:nvPicPr>
        <xdr:cNvPr id="12" name="Billede 11">
          <a:extLst>
            <a:ext uri="{FF2B5EF4-FFF2-40B4-BE49-F238E27FC236}">
              <a16:creationId xmlns:a16="http://schemas.microsoft.com/office/drawing/2014/main" id="{A86D4B16-03E6-6290-375D-D93C6648FB8A}"/>
            </a:ext>
          </a:extLst>
        </xdr:cNvPr>
        <xdr:cNvPicPr>
          <a:picLocks noChangeAspect="1"/>
        </xdr:cNvPicPr>
      </xdr:nvPicPr>
      <xdr:blipFill>
        <a:blip xmlns:r="http://schemas.openxmlformats.org/officeDocument/2006/relationships" r:embed="rId2"/>
        <a:stretch>
          <a:fillRect/>
        </a:stretch>
      </xdr:blipFill>
      <xdr:spPr>
        <a:xfrm>
          <a:off x="28573" y="11582399"/>
          <a:ext cx="6552000" cy="3704635"/>
        </a:xfrm>
        <a:prstGeom prst="rect">
          <a:avLst/>
        </a:prstGeom>
      </xdr:spPr>
    </xdr:pic>
    <xdr:clientData/>
  </xdr:twoCellAnchor>
  <xdr:twoCellAnchor editAs="oneCell">
    <xdr:from>
      <xdr:col>0</xdr:col>
      <xdr:colOff>0</xdr:colOff>
      <xdr:row>11</xdr:row>
      <xdr:rowOff>171450</xdr:rowOff>
    </xdr:from>
    <xdr:to>
      <xdr:col>10</xdr:col>
      <xdr:colOff>456000</xdr:colOff>
      <xdr:row>18</xdr:row>
      <xdr:rowOff>174313</xdr:rowOff>
    </xdr:to>
    <xdr:pic>
      <xdr:nvPicPr>
        <xdr:cNvPr id="6" name="Billede 5">
          <a:extLst>
            <a:ext uri="{FF2B5EF4-FFF2-40B4-BE49-F238E27FC236}">
              <a16:creationId xmlns:a16="http://schemas.microsoft.com/office/drawing/2014/main" id="{308710E6-6A27-40DB-B848-8B5C8CF49D61}"/>
            </a:ext>
          </a:extLst>
        </xdr:cNvPr>
        <xdr:cNvPicPr>
          <a:picLocks noChangeAspect="1"/>
        </xdr:cNvPicPr>
      </xdr:nvPicPr>
      <xdr:blipFill rotWithShape="1">
        <a:blip xmlns:r="http://schemas.openxmlformats.org/officeDocument/2006/relationships" r:embed="rId3"/>
        <a:srcRect l="2556" t="79800" r="3021"/>
        <a:stretch/>
      </xdr:blipFill>
      <xdr:spPr>
        <a:xfrm>
          <a:off x="0" y="2266950"/>
          <a:ext cx="6552000" cy="1336363"/>
        </a:xfrm>
        <a:prstGeom prst="rect">
          <a:avLst/>
        </a:prstGeom>
      </xdr:spPr>
    </xdr:pic>
    <xdr:clientData/>
  </xdr:twoCellAnchor>
  <xdr:twoCellAnchor editAs="oneCell">
    <xdr:from>
      <xdr:col>11</xdr:col>
      <xdr:colOff>38100</xdr:colOff>
      <xdr:row>20</xdr:row>
      <xdr:rowOff>57150</xdr:rowOff>
    </xdr:from>
    <xdr:to>
      <xdr:col>24</xdr:col>
      <xdr:colOff>478780</xdr:colOff>
      <xdr:row>65</xdr:row>
      <xdr:rowOff>161925</xdr:rowOff>
    </xdr:to>
    <xdr:pic>
      <xdr:nvPicPr>
        <xdr:cNvPr id="8" name="Billede 7">
          <a:extLst>
            <a:ext uri="{FF2B5EF4-FFF2-40B4-BE49-F238E27FC236}">
              <a16:creationId xmlns:a16="http://schemas.microsoft.com/office/drawing/2014/main" id="{A7BF6C1B-7F0A-6C98-7BA4-00734DE22541}"/>
            </a:ext>
          </a:extLst>
        </xdr:cNvPr>
        <xdr:cNvPicPr>
          <a:picLocks noChangeAspect="1"/>
        </xdr:cNvPicPr>
      </xdr:nvPicPr>
      <xdr:blipFill>
        <a:blip xmlns:r="http://schemas.openxmlformats.org/officeDocument/2006/relationships" r:embed="rId4"/>
        <a:stretch>
          <a:fillRect/>
        </a:stretch>
      </xdr:blipFill>
      <xdr:spPr>
        <a:xfrm>
          <a:off x="6810375" y="3867150"/>
          <a:ext cx="8555980" cy="8677275"/>
        </a:xfrm>
        <a:prstGeom prst="rect">
          <a:avLst/>
        </a:prstGeom>
      </xdr:spPr>
    </xdr:pic>
    <xdr:clientData/>
  </xdr:twoCellAnchor>
  <xdr:twoCellAnchor editAs="oneCell">
    <xdr:from>
      <xdr:col>11</xdr:col>
      <xdr:colOff>28574</xdr:colOff>
      <xdr:row>1</xdr:row>
      <xdr:rowOff>57150</xdr:rowOff>
    </xdr:from>
    <xdr:to>
      <xdr:col>21</xdr:col>
      <xdr:colOff>114299</xdr:colOff>
      <xdr:row>20</xdr:row>
      <xdr:rowOff>32238</xdr:rowOff>
    </xdr:to>
    <xdr:pic>
      <xdr:nvPicPr>
        <xdr:cNvPr id="2" name="Billede 1">
          <a:extLst>
            <a:ext uri="{FF2B5EF4-FFF2-40B4-BE49-F238E27FC236}">
              <a16:creationId xmlns:a16="http://schemas.microsoft.com/office/drawing/2014/main" id="{2F98245A-1005-8F98-2E6F-DBE837F77B18}"/>
            </a:ext>
          </a:extLst>
        </xdr:cNvPr>
        <xdr:cNvPicPr>
          <a:picLocks noChangeAspect="1"/>
        </xdr:cNvPicPr>
      </xdr:nvPicPr>
      <xdr:blipFill>
        <a:blip xmlns:r="http://schemas.openxmlformats.org/officeDocument/2006/relationships" r:embed="rId5"/>
        <a:stretch>
          <a:fillRect/>
        </a:stretch>
      </xdr:blipFill>
      <xdr:spPr>
        <a:xfrm>
          <a:off x="6800849" y="247650"/>
          <a:ext cx="6372225" cy="3594588"/>
        </a:xfrm>
        <a:prstGeom prst="rect">
          <a:avLst/>
        </a:prstGeom>
      </xdr:spPr>
    </xdr:pic>
    <xdr:clientData/>
  </xdr:twoCellAnchor>
  <xdr:oneCellAnchor>
    <xdr:from>
      <xdr:col>15</xdr:col>
      <xdr:colOff>114300</xdr:colOff>
      <xdr:row>5</xdr:row>
      <xdr:rowOff>28575</xdr:rowOff>
    </xdr:from>
    <xdr:ext cx="688778" cy="264560"/>
    <xdr:sp macro="" textlink="">
      <xdr:nvSpPr>
        <xdr:cNvPr id="3" name="Tekstfelt 2">
          <a:extLst>
            <a:ext uri="{FF2B5EF4-FFF2-40B4-BE49-F238E27FC236}">
              <a16:creationId xmlns:a16="http://schemas.microsoft.com/office/drawing/2014/main" id="{C232D448-504E-AEDF-B22C-403F8EA4C418}"/>
            </a:ext>
          </a:extLst>
        </xdr:cNvPr>
        <xdr:cNvSpPr txBox="1"/>
      </xdr:nvSpPr>
      <xdr:spPr>
        <a:xfrm>
          <a:off x="9448800" y="981075"/>
          <a:ext cx="68877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a:t>Formel2:</a:t>
          </a:r>
        </a:p>
      </xdr:txBody>
    </xdr:sp>
    <xdr:clientData/>
  </xdr:oneCellAnchor>
  <xdr:oneCellAnchor>
    <xdr:from>
      <xdr:col>13</xdr:col>
      <xdr:colOff>200025</xdr:colOff>
      <xdr:row>12</xdr:row>
      <xdr:rowOff>152400</xdr:rowOff>
    </xdr:from>
    <xdr:ext cx="688778" cy="264560"/>
    <xdr:sp macro="" textlink="">
      <xdr:nvSpPr>
        <xdr:cNvPr id="4" name="Tekstfelt 3">
          <a:extLst>
            <a:ext uri="{FF2B5EF4-FFF2-40B4-BE49-F238E27FC236}">
              <a16:creationId xmlns:a16="http://schemas.microsoft.com/office/drawing/2014/main" id="{BA517340-722F-4B45-AED1-93B890036D23}"/>
            </a:ext>
          </a:extLst>
        </xdr:cNvPr>
        <xdr:cNvSpPr txBox="1"/>
      </xdr:nvSpPr>
      <xdr:spPr>
        <a:xfrm>
          <a:off x="8124825" y="2438400"/>
          <a:ext cx="68877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a:t>Formel1:</a:t>
          </a:r>
        </a:p>
      </xdr:txBody>
    </xdr:sp>
    <xdr:clientData/>
  </xdr:oneCellAnchor>
  <xdr:twoCellAnchor editAs="oneCell">
    <xdr:from>
      <xdr:col>0</xdr:col>
      <xdr:colOff>0</xdr:colOff>
      <xdr:row>38</xdr:row>
      <xdr:rowOff>2</xdr:rowOff>
    </xdr:from>
    <xdr:to>
      <xdr:col>10</xdr:col>
      <xdr:colOff>456000</xdr:colOff>
      <xdr:row>60</xdr:row>
      <xdr:rowOff>122942</xdr:rowOff>
    </xdr:to>
    <xdr:pic>
      <xdr:nvPicPr>
        <xdr:cNvPr id="5" name="Billede 4">
          <a:extLst>
            <a:ext uri="{FF2B5EF4-FFF2-40B4-BE49-F238E27FC236}">
              <a16:creationId xmlns:a16="http://schemas.microsoft.com/office/drawing/2014/main" id="{3D351213-F46D-0C04-8DAB-00F716119E17}"/>
            </a:ext>
          </a:extLst>
        </xdr:cNvPr>
        <xdr:cNvPicPr>
          <a:picLocks noChangeAspect="1"/>
        </xdr:cNvPicPr>
      </xdr:nvPicPr>
      <xdr:blipFill>
        <a:blip xmlns:r="http://schemas.openxmlformats.org/officeDocument/2006/relationships" r:embed="rId6"/>
        <a:stretch>
          <a:fillRect/>
        </a:stretch>
      </xdr:blipFill>
      <xdr:spPr>
        <a:xfrm>
          <a:off x="0" y="7239002"/>
          <a:ext cx="6552000" cy="4313940"/>
        </a:xfrm>
        <a:prstGeom prst="rect">
          <a:avLst/>
        </a:prstGeom>
      </xdr:spPr>
    </xdr:pic>
    <xdr:clientData/>
  </xdr:twoCellAnchor>
  <xdr:twoCellAnchor>
    <xdr:from>
      <xdr:col>10</xdr:col>
      <xdr:colOff>95250</xdr:colOff>
      <xdr:row>65</xdr:row>
      <xdr:rowOff>114300</xdr:rowOff>
    </xdr:from>
    <xdr:to>
      <xdr:col>10</xdr:col>
      <xdr:colOff>476250</xdr:colOff>
      <xdr:row>67</xdr:row>
      <xdr:rowOff>114300</xdr:rowOff>
    </xdr:to>
    <xdr:sp macro="" textlink="">
      <xdr:nvSpPr>
        <xdr:cNvPr id="7" name="Rektangel 6">
          <a:extLst>
            <a:ext uri="{FF2B5EF4-FFF2-40B4-BE49-F238E27FC236}">
              <a16:creationId xmlns:a16="http://schemas.microsoft.com/office/drawing/2014/main" id="{98D9F53B-2417-0728-8545-4084E59B6075}"/>
            </a:ext>
          </a:extLst>
        </xdr:cNvPr>
        <xdr:cNvSpPr/>
      </xdr:nvSpPr>
      <xdr:spPr>
        <a:xfrm>
          <a:off x="6191250" y="12496800"/>
          <a:ext cx="381000" cy="3810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9524</xdr:colOff>
      <xdr:row>1</xdr:row>
      <xdr:rowOff>0</xdr:rowOff>
    </xdr:from>
    <xdr:to>
      <xdr:col>10</xdr:col>
      <xdr:colOff>459486</xdr:colOff>
      <xdr:row>11</xdr:row>
      <xdr:rowOff>171451</xdr:rowOff>
    </xdr:to>
    <xdr:grpSp>
      <xdr:nvGrpSpPr>
        <xdr:cNvPr id="17" name="Gruppe 16">
          <a:extLst>
            <a:ext uri="{FF2B5EF4-FFF2-40B4-BE49-F238E27FC236}">
              <a16:creationId xmlns:a16="http://schemas.microsoft.com/office/drawing/2014/main" id="{0EA4DF48-8559-01D2-06D6-0DE32FE4E4B1}"/>
            </a:ext>
          </a:extLst>
        </xdr:cNvPr>
        <xdr:cNvGrpSpPr/>
      </xdr:nvGrpSpPr>
      <xdr:grpSpPr>
        <a:xfrm>
          <a:off x="9524" y="190500"/>
          <a:ext cx="6545962" cy="2076451"/>
          <a:chOff x="9524" y="0"/>
          <a:chExt cx="6545962" cy="2076451"/>
        </a:xfrm>
      </xdr:grpSpPr>
      <xdr:pic>
        <xdr:nvPicPr>
          <xdr:cNvPr id="13" name="Billede 12">
            <a:extLst>
              <a:ext uri="{FF2B5EF4-FFF2-40B4-BE49-F238E27FC236}">
                <a16:creationId xmlns:a16="http://schemas.microsoft.com/office/drawing/2014/main" id="{BCE6501E-111A-15A7-EB63-BFEAFF91F621}"/>
              </a:ext>
            </a:extLst>
          </xdr:cNvPr>
          <xdr:cNvPicPr>
            <a:picLocks noChangeAspect="1"/>
          </xdr:cNvPicPr>
        </xdr:nvPicPr>
        <xdr:blipFill rotWithShape="1">
          <a:blip xmlns:r="http://schemas.openxmlformats.org/officeDocument/2006/relationships" r:embed="rId7"/>
          <a:srcRect l="8149"/>
          <a:stretch>
            <a:fillRect/>
          </a:stretch>
        </xdr:blipFill>
        <xdr:spPr>
          <a:xfrm>
            <a:off x="9524" y="1"/>
            <a:ext cx="6012191" cy="2076450"/>
          </a:xfrm>
          <a:prstGeom prst="rect">
            <a:avLst/>
          </a:prstGeom>
        </xdr:spPr>
      </xdr:pic>
      <xdr:pic>
        <xdr:nvPicPr>
          <xdr:cNvPr id="15" name="Billede 14">
            <a:extLst>
              <a:ext uri="{FF2B5EF4-FFF2-40B4-BE49-F238E27FC236}">
                <a16:creationId xmlns:a16="http://schemas.microsoft.com/office/drawing/2014/main" id="{7F283AF7-63D6-5C4C-D8C5-4EE942B7EA94}"/>
              </a:ext>
            </a:extLst>
          </xdr:cNvPr>
          <xdr:cNvPicPr>
            <a:picLocks noChangeAspect="1"/>
          </xdr:cNvPicPr>
        </xdr:nvPicPr>
        <xdr:blipFill>
          <a:blip xmlns:r="http://schemas.openxmlformats.org/officeDocument/2006/relationships" r:embed="rId8"/>
          <a:stretch>
            <a:fillRect/>
          </a:stretch>
        </xdr:blipFill>
        <xdr:spPr>
          <a:xfrm>
            <a:off x="5143500" y="0"/>
            <a:ext cx="1411986" cy="2076450"/>
          </a:xfrm>
          <a:prstGeom prst="rect">
            <a:avLst/>
          </a:prstGeom>
        </xdr:spPr>
      </xdr:pic>
      <xdr:pic>
        <xdr:nvPicPr>
          <xdr:cNvPr id="16" name="Billede 15">
            <a:extLst>
              <a:ext uri="{FF2B5EF4-FFF2-40B4-BE49-F238E27FC236}">
                <a16:creationId xmlns:a16="http://schemas.microsoft.com/office/drawing/2014/main" id="{85026CCB-24B6-4680-9F16-9CB78A0FE338}"/>
              </a:ext>
            </a:extLst>
          </xdr:cNvPr>
          <xdr:cNvPicPr>
            <a:picLocks noChangeAspect="1"/>
          </xdr:cNvPicPr>
        </xdr:nvPicPr>
        <xdr:blipFill>
          <a:blip xmlns:r="http://schemas.openxmlformats.org/officeDocument/2006/relationships" r:embed="rId9"/>
          <a:stretch>
            <a:fillRect/>
          </a:stretch>
        </xdr:blipFill>
        <xdr:spPr>
          <a:xfrm>
            <a:off x="4676775" y="1304925"/>
            <a:ext cx="1828800" cy="695459"/>
          </a:xfrm>
          <a:prstGeom prst="rect">
            <a:avLst/>
          </a:prstGeom>
        </xdr:spPr>
      </xdr:pic>
    </xdr:grpSp>
    <xdr:clientData/>
  </xdr:twoCellAnchor>
  <xdr:oneCellAnchor>
    <xdr:from>
      <xdr:col>8</xdr:col>
      <xdr:colOff>38100</xdr:colOff>
      <xdr:row>42</xdr:row>
      <xdr:rowOff>152400</xdr:rowOff>
    </xdr:from>
    <xdr:ext cx="729623" cy="169534"/>
    <xdr:sp macro="" textlink="">
      <xdr:nvSpPr>
        <xdr:cNvPr id="10" name="Tekstfelt 9">
          <a:extLst>
            <a:ext uri="{FF2B5EF4-FFF2-40B4-BE49-F238E27FC236}">
              <a16:creationId xmlns:a16="http://schemas.microsoft.com/office/drawing/2014/main" id="{1AFC72E5-3984-9F17-7EDB-6C2793F32E21}"/>
            </a:ext>
          </a:extLst>
        </xdr:cNvPr>
        <xdr:cNvSpPr txBox="1"/>
      </xdr:nvSpPr>
      <xdr:spPr>
        <a:xfrm>
          <a:off x="4914900" y="8153400"/>
          <a:ext cx="729623" cy="1695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da-DK" sz="1150" b="1">
              <a:solidFill>
                <a:schemeClr val="tx1">
                  <a:lumMod val="75000"/>
                  <a:lumOff val="25000"/>
                </a:schemeClr>
              </a:solidFill>
              <a:latin typeface="Arial" panose="020B0604020202020204" pitchFamily="34" charset="0"/>
              <a:cs typeface="Arial" panose="020B0604020202020204" pitchFamily="34" charset="0"/>
            </a:rPr>
            <a:t>2,5 &lt; U &lt; 5</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1300596</xdr:colOff>
      <xdr:row>11</xdr:row>
      <xdr:rowOff>0</xdr:rowOff>
    </xdr:from>
    <xdr:to>
      <xdr:col>0</xdr:col>
      <xdr:colOff>2538846</xdr:colOff>
      <xdr:row>12</xdr:row>
      <xdr:rowOff>0</xdr:rowOff>
    </xdr:to>
    <xdr:sp macro="" textlink="">
      <xdr:nvSpPr>
        <xdr:cNvPr id="2" name="Rektangel 1">
          <a:extLst>
            <a:ext uri="{FF2B5EF4-FFF2-40B4-BE49-F238E27FC236}">
              <a16:creationId xmlns:a16="http://schemas.microsoft.com/office/drawing/2014/main" id="{07B07D04-861F-F3FE-C62A-F26104EF3BC1}"/>
            </a:ext>
          </a:extLst>
        </xdr:cNvPr>
        <xdr:cNvSpPr/>
      </xdr:nvSpPr>
      <xdr:spPr>
        <a:xfrm>
          <a:off x="1300596" y="1524000"/>
          <a:ext cx="1238250" cy="190500"/>
        </a:xfrm>
        <a:prstGeom prst="rect">
          <a:avLst/>
        </a:prstGeom>
        <a:solidFill>
          <a:srgbClr val="FFFF00">
            <a:alpha val="2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85725</xdr:colOff>
      <xdr:row>24</xdr:row>
      <xdr:rowOff>0</xdr:rowOff>
    </xdr:from>
    <xdr:to>
      <xdr:col>0</xdr:col>
      <xdr:colOff>301725</xdr:colOff>
      <xdr:row>25</xdr:row>
      <xdr:rowOff>0</xdr:rowOff>
    </xdr:to>
    <xdr:sp macro="" textlink="">
      <xdr:nvSpPr>
        <xdr:cNvPr id="3" name="Rektangel 2">
          <a:extLst>
            <a:ext uri="{FF2B5EF4-FFF2-40B4-BE49-F238E27FC236}">
              <a16:creationId xmlns:a16="http://schemas.microsoft.com/office/drawing/2014/main" id="{6C43BA3C-33AE-4E09-99DA-27C9FCEA028C}"/>
            </a:ext>
          </a:extLst>
        </xdr:cNvPr>
        <xdr:cNvSpPr/>
      </xdr:nvSpPr>
      <xdr:spPr>
        <a:xfrm>
          <a:off x="85725" y="4029075"/>
          <a:ext cx="216000" cy="190500"/>
        </a:xfrm>
        <a:prstGeom prst="rect">
          <a:avLst/>
        </a:prstGeom>
        <a:solidFill>
          <a:srgbClr val="FFFF00">
            <a:alpha val="2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2072121</xdr:colOff>
      <xdr:row>32</xdr:row>
      <xdr:rowOff>0</xdr:rowOff>
    </xdr:from>
    <xdr:to>
      <xdr:col>0</xdr:col>
      <xdr:colOff>3310371</xdr:colOff>
      <xdr:row>33</xdr:row>
      <xdr:rowOff>0</xdr:rowOff>
    </xdr:to>
    <xdr:sp macro="" textlink="">
      <xdr:nvSpPr>
        <xdr:cNvPr id="5" name="Rektangel 4">
          <a:extLst>
            <a:ext uri="{FF2B5EF4-FFF2-40B4-BE49-F238E27FC236}">
              <a16:creationId xmlns:a16="http://schemas.microsoft.com/office/drawing/2014/main" id="{2002BC03-D7CA-4325-AB19-081DBBA3DC49}"/>
            </a:ext>
          </a:extLst>
        </xdr:cNvPr>
        <xdr:cNvSpPr/>
      </xdr:nvSpPr>
      <xdr:spPr>
        <a:xfrm>
          <a:off x="2072121" y="5743575"/>
          <a:ext cx="1238250" cy="190500"/>
        </a:xfrm>
        <a:prstGeom prst="rect">
          <a:avLst/>
        </a:prstGeom>
        <a:solidFill>
          <a:srgbClr val="FFFF00">
            <a:alpha val="2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9921</xdr:colOff>
      <xdr:row>2</xdr:row>
      <xdr:rowOff>65943</xdr:rowOff>
    </xdr:from>
    <xdr:to>
      <xdr:col>4</xdr:col>
      <xdr:colOff>744051</xdr:colOff>
      <xdr:row>9</xdr:row>
      <xdr:rowOff>165656</xdr:rowOff>
    </xdr:to>
    <xdr:pic>
      <xdr:nvPicPr>
        <xdr:cNvPr id="15" name="Billede 14">
          <a:extLst>
            <a:ext uri="{FF2B5EF4-FFF2-40B4-BE49-F238E27FC236}">
              <a16:creationId xmlns:a16="http://schemas.microsoft.com/office/drawing/2014/main" id="{0E05B1AC-E52E-9EEC-5828-DB08567FF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056" y="2637693"/>
          <a:ext cx="2346053" cy="2253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803672</xdr:colOff>
      <xdr:row>2</xdr:row>
      <xdr:rowOff>65943</xdr:rowOff>
    </xdr:from>
    <xdr:to>
      <xdr:col>6</xdr:col>
      <xdr:colOff>180080</xdr:colOff>
      <xdr:row>9</xdr:row>
      <xdr:rowOff>165656</xdr:rowOff>
    </xdr:to>
    <xdr:pic>
      <xdr:nvPicPr>
        <xdr:cNvPr id="16" name="Billede 15">
          <a:extLst>
            <a:ext uri="{FF2B5EF4-FFF2-40B4-BE49-F238E27FC236}">
              <a16:creationId xmlns:a16="http://schemas.microsoft.com/office/drawing/2014/main" id="{1000290A-D615-0B3D-5ADB-3545DE0E9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23730" y="2637693"/>
          <a:ext cx="2343812" cy="2253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11</xdr:col>
      <xdr:colOff>233728</xdr:colOff>
      <xdr:row>11</xdr:row>
      <xdr:rowOff>67990</xdr:rowOff>
    </xdr:from>
    <xdr:ext cx="3492000" cy="1642373"/>
    <xdr:sp macro="" textlink="">
      <xdr:nvSpPr>
        <xdr:cNvPr id="3" name="Tekstfelt 2">
          <a:extLst>
            <a:ext uri="{FF2B5EF4-FFF2-40B4-BE49-F238E27FC236}">
              <a16:creationId xmlns:a16="http://schemas.microsoft.com/office/drawing/2014/main" id="{712BCE5F-75DD-EEC1-656E-D523942A7C1D}"/>
            </a:ext>
          </a:extLst>
        </xdr:cNvPr>
        <xdr:cNvSpPr txBox="1"/>
      </xdr:nvSpPr>
      <xdr:spPr>
        <a:xfrm>
          <a:off x="13942401" y="2522509"/>
          <a:ext cx="3492000" cy="1642373"/>
        </a:xfrm>
        <a:prstGeom prst="rect">
          <a:avLst/>
        </a:prstGeom>
        <a:solidFill>
          <a:schemeClr val="bg1">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a-DK" sz="1100" u="sng"/>
            <a:t>Bemærk følgende omkring Aia:</a:t>
          </a:r>
        </a:p>
        <a:p>
          <a:r>
            <a:rPr lang="da-DK" sz="1100"/>
            <a:t>Beregningerne bygger på nuværende viden om Aia; et felt i hastig udvikling. Defaultværdien for sandjorde beregnes på baggrund af en empirisk relation med Sw. Defaultværdien for lerjorde beregnes tilsvarende,</a:t>
          </a:r>
          <a:r>
            <a:rPr lang="da-DK" sz="1100" baseline="0"/>
            <a:t> men med begrænset empirisk understøtning pt. (se evt. fanen </a:t>
          </a:r>
          <a:r>
            <a:rPr lang="da-DK" sz="1100" b="1" baseline="0">
              <a:solidFill>
                <a:srgbClr val="FFFF00"/>
              </a:solidFill>
            </a:rPr>
            <a:t>Aia</a:t>
          </a:r>
          <a:r>
            <a:rPr lang="da-DK" sz="1100" baseline="0"/>
            <a:t>). For Fyld er relationen for sand benyttet. Det nuværende vidensgrund-lag berettiger pt. ikke til indbygning af en defaultværdi for organiske jordtyper (se evt. fanen </a:t>
          </a:r>
          <a:r>
            <a:rPr lang="da-DK" sz="1100" baseline="0">
              <a:solidFill>
                <a:schemeClr val="accent6">
                  <a:lumMod val="75000"/>
                </a:schemeClr>
              </a:solidFill>
            </a:rPr>
            <a:t>Jordparametre</a:t>
          </a:r>
          <a:r>
            <a:rPr lang="da-DK" sz="1100" baseline="0"/>
            <a:t>).</a:t>
          </a:r>
          <a:endParaRPr lang="da-DK" sz="1100" i="1">
            <a:solidFill>
              <a:srgbClr val="FF0000"/>
            </a:solidFill>
          </a:endParaRPr>
        </a:p>
      </xdr:txBody>
    </xdr:sp>
    <xdr:clientData/>
  </xdr:oneCellAnchor>
  <xdr:twoCellAnchor editAs="oneCell">
    <xdr:from>
      <xdr:col>12</xdr:col>
      <xdr:colOff>3414282</xdr:colOff>
      <xdr:row>2</xdr:row>
      <xdr:rowOff>8896</xdr:rowOff>
    </xdr:from>
    <xdr:to>
      <xdr:col>12</xdr:col>
      <xdr:colOff>3575369</xdr:colOff>
      <xdr:row>2</xdr:row>
      <xdr:rowOff>181696</xdr:rowOff>
    </xdr:to>
    <xdr:pic>
      <xdr:nvPicPr>
        <xdr:cNvPr id="18" name="Billede 17">
          <a:extLst>
            <a:ext uri="{FF2B5EF4-FFF2-40B4-BE49-F238E27FC236}">
              <a16:creationId xmlns:a16="http://schemas.microsoft.com/office/drawing/2014/main" id="{C91F2327-3B1F-8A6B-0420-ABB586656B09}"/>
            </a:ext>
          </a:extLst>
        </xdr:cNvPr>
        <xdr:cNvPicPr>
          <a:picLocks noChangeAspect="1"/>
        </xdr:cNvPicPr>
      </xdr:nvPicPr>
      <xdr:blipFill rotWithShape="1">
        <a:blip xmlns:r="http://schemas.openxmlformats.org/officeDocument/2006/relationships" r:embed="rId1"/>
        <a:srcRect l="15045" t="5013" r="-74" b="8611"/>
        <a:stretch/>
      </xdr:blipFill>
      <xdr:spPr>
        <a:xfrm>
          <a:off x="17445340" y="448511"/>
          <a:ext cx="161087" cy="172800"/>
        </a:xfrm>
        <a:prstGeom prst="rect">
          <a:avLst/>
        </a:prstGeom>
      </xdr:spPr>
    </xdr:pic>
    <xdr:clientData/>
  </xdr:twoCellAnchor>
  <xdr:twoCellAnchor editAs="oneCell">
    <xdr:from>
      <xdr:col>0</xdr:col>
      <xdr:colOff>17319</xdr:colOff>
      <xdr:row>21</xdr:row>
      <xdr:rowOff>25977</xdr:rowOff>
    </xdr:from>
    <xdr:to>
      <xdr:col>5</xdr:col>
      <xdr:colOff>234057</xdr:colOff>
      <xdr:row>94</xdr:row>
      <xdr:rowOff>0</xdr:rowOff>
    </xdr:to>
    <xdr:pic>
      <xdr:nvPicPr>
        <xdr:cNvPr id="2" name="Billede 1">
          <a:extLst>
            <a:ext uri="{FF2B5EF4-FFF2-40B4-BE49-F238E27FC236}">
              <a16:creationId xmlns:a16="http://schemas.microsoft.com/office/drawing/2014/main" id="{7318F28A-6D0E-4925-B58A-A2AFB6A53A57}"/>
            </a:ext>
          </a:extLst>
        </xdr:cNvPr>
        <xdr:cNvPicPr>
          <a:picLocks noChangeAspect="1"/>
        </xdr:cNvPicPr>
      </xdr:nvPicPr>
      <xdr:blipFill>
        <a:blip xmlns:r="http://schemas.openxmlformats.org/officeDocument/2006/relationships" r:embed="rId2"/>
        <a:stretch>
          <a:fillRect/>
        </a:stretch>
      </xdr:blipFill>
      <xdr:spPr>
        <a:xfrm>
          <a:off x="17319" y="4381500"/>
          <a:ext cx="6563852" cy="13880523"/>
        </a:xfrm>
        <a:prstGeom prst="rect">
          <a:avLst/>
        </a:prstGeom>
      </xdr:spPr>
    </xdr:pic>
    <xdr:clientData/>
  </xdr:twoCellAnchor>
  <xdr:twoCellAnchor editAs="oneCell">
    <xdr:from>
      <xdr:col>1</xdr:col>
      <xdr:colOff>285750</xdr:colOff>
      <xdr:row>10</xdr:row>
      <xdr:rowOff>147205</xdr:rowOff>
    </xdr:from>
    <xdr:to>
      <xdr:col>2</xdr:col>
      <xdr:colOff>1333500</xdr:colOff>
      <xdr:row>20</xdr:row>
      <xdr:rowOff>155045</xdr:rowOff>
    </xdr:to>
    <xdr:pic>
      <xdr:nvPicPr>
        <xdr:cNvPr id="4" name="Billede 3">
          <a:extLst>
            <a:ext uri="{FF2B5EF4-FFF2-40B4-BE49-F238E27FC236}">
              <a16:creationId xmlns:a16="http://schemas.microsoft.com/office/drawing/2014/main" id="{1911A74D-D7D9-9220-664F-9D33B816A3C2}"/>
            </a:ext>
          </a:extLst>
        </xdr:cNvPr>
        <xdr:cNvPicPr>
          <a:picLocks noChangeAspect="1"/>
        </xdr:cNvPicPr>
      </xdr:nvPicPr>
      <xdr:blipFill>
        <a:blip xmlns:r="http://schemas.openxmlformats.org/officeDocument/2006/relationships" r:embed="rId3"/>
        <a:stretch>
          <a:fillRect/>
        </a:stretch>
      </xdr:blipFill>
      <xdr:spPr>
        <a:xfrm>
          <a:off x="891886" y="2398569"/>
          <a:ext cx="2987387" cy="1921499"/>
        </a:xfrm>
        <a:prstGeom prst="rect">
          <a:avLst/>
        </a:prstGeom>
      </xdr:spPr>
    </xdr:pic>
    <xdr:clientData/>
  </xdr:twoCellAnchor>
  <xdr:twoCellAnchor editAs="oneCell">
    <xdr:from>
      <xdr:col>23</xdr:col>
      <xdr:colOff>0</xdr:colOff>
      <xdr:row>2</xdr:row>
      <xdr:rowOff>0</xdr:rowOff>
    </xdr:from>
    <xdr:to>
      <xdr:col>30</xdr:col>
      <xdr:colOff>349664</xdr:colOff>
      <xdr:row>19</xdr:row>
      <xdr:rowOff>39832</xdr:rowOff>
    </xdr:to>
    <xdr:pic>
      <xdr:nvPicPr>
        <xdr:cNvPr id="5" name="Billede 4">
          <a:extLst>
            <a:ext uri="{FF2B5EF4-FFF2-40B4-BE49-F238E27FC236}">
              <a16:creationId xmlns:a16="http://schemas.microsoft.com/office/drawing/2014/main" id="{016749D9-8094-4F0E-8C9D-9CABD526FE69}"/>
            </a:ext>
          </a:extLst>
        </xdr:cNvPr>
        <xdr:cNvPicPr>
          <a:picLocks noChangeAspect="1"/>
        </xdr:cNvPicPr>
      </xdr:nvPicPr>
      <xdr:blipFill>
        <a:blip xmlns:r="http://schemas.openxmlformats.org/officeDocument/2006/relationships" r:embed="rId4"/>
        <a:stretch>
          <a:fillRect/>
        </a:stretch>
      </xdr:blipFill>
      <xdr:spPr>
        <a:xfrm>
          <a:off x="24392659" y="432955"/>
          <a:ext cx="4592619" cy="3581400"/>
        </a:xfrm>
        <a:prstGeom prst="rect">
          <a:avLst/>
        </a:prstGeom>
        <a:ln>
          <a:solidFill>
            <a:schemeClr val="tx1"/>
          </a:solidFill>
        </a:ln>
      </xdr:spPr>
    </xdr:pic>
    <xdr:clientData/>
  </xdr:twoCellAnchor>
  <xdr:twoCellAnchor editAs="oneCell">
    <xdr:from>
      <xdr:col>31</xdr:col>
      <xdr:colOff>0</xdr:colOff>
      <xdr:row>2</xdr:row>
      <xdr:rowOff>0</xdr:rowOff>
    </xdr:from>
    <xdr:to>
      <xdr:col>37</xdr:col>
      <xdr:colOff>68923</xdr:colOff>
      <xdr:row>16</xdr:row>
      <xdr:rowOff>11673</xdr:rowOff>
    </xdr:to>
    <xdr:pic>
      <xdr:nvPicPr>
        <xdr:cNvPr id="6" name="Billede 5">
          <a:extLst>
            <a:ext uri="{FF2B5EF4-FFF2-40B4-BE49-F238E27FC236}">
              <a16:creationId xmlns:a16="http://schemas.microsoft.com/office/drawing/2014/main" id="{F9A8B860-FD28-45B1-B466-B5EDEE7F2F8E}"/>
            </a:ext>
          </a:extLst>
        </xdr:cNvPr>
        <xdr:cNvPicPr>
          <a:picLocks noChangeAspect="1"/>
        </xdr:cNvPicPr>
      </xdr:nvPicPr>
      <xdr:blipFill>
        <a:blip xmlns:r="http://schemas.openxmlformats.org/officeDocument/2006/relationships" r:embed="rId5"/>
        <a:stretch>
          <a:fillRect/>
        </a:stretch>
      </xdr:blipFill>
      <xdr:spPr>
        <a:xfrm>
          <a:off x="29241750" y="432955"/>
          <a:ext cx="3705742" cy="2981741"/>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562841</xdr:colOff>
      <xdr:row>36</xdr:row>
      <xdr:rowOff>86591</xdr:rowOff>
    </xdr:from>
    <xdr:to>
      <xdr:col>14</xdr:col>
      <xdr:colOff>548987</xdr:colOff>
      <xdr:row>39</xdr:row>
      <xdr:rowOff>155597</xdr:rowOff>
    </xdr:to>
    <xdr:pic>
      <xdr:nvPicPr>
        <xdr:cNvPr id="2" name="Billede 1">
          <a:extLst>
            <a:ext uri="{FF2B5EF4-FFF2-40B4-BE49-F238E27FC236}">
              <a16:creationId xmlns:a16="http://schemas.microsoft.com/office/drawing/2014/main" id="{C38920F5-49E8-431D-B502-649F1CE6F0E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2393" t="19281" r="1" b="-1"/>
        <a:stretch/>
      </xdr:blipFill>
      <xdr:spPr>
        <a:xfrm>
          <a:off x="7351568" y="5992091"/>
          <a:ext cx="687532" cy="6405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246577</xdr:colOff>
      <xdr:row>20</xdr:row>
      <xdr:rowOff>174626</xdr:rowOff>
    </xdr:from>
    <xdr:to>
      <xdr:col>10</xdr:col>
      <xdr:colOff>570099</xdr:colOff>
      <xdr:row>26</xdr:row>
      <xdr:rowOff>174626</xdr:rowOff>
    </xdr:to>
    <xdr:pic>
      <xdr:nvPicPr>
        <xdr:cNvPr id="7" name="Billede 6">
          <a:extLst>
            <a:ext uri="{FF2B5EF4-FFF2-40B4-BE49-F238E27FC236}">
              <a16:creationId xmlns:a16="http://schemas.microsoft.com/office/drawing/2014/main" id="{8B0DF9A2-6EE7-415A-79D2-13762C186CE9}"/>
            </a:ext>
          </a:extLst>
        </xdr:cNvPr>
        <xdr:cNvPicPr>
          <a:picLocks noChangeAspect="1"/>
        </xdr:cNvPicPr>
      </xdr:nvPicPr>
      <xdr:blipFill>
        <a:blip xmlns:r="http://schemas.openxmlformats.org/officeDocument/2006/relationships" r:embed="rId1"/>
        <a:stretch>
          <a:fillRect/>
        </a:stretch>
      </xdr:blipFill>
      <xdr:spPr>
        <a:xfrm>
          <a:off x="5667890" y="4532314"/>
          <a:ext cx="2776209" cy="1333500"/>
        </a:xfrm>
        <a:prstGeom prst="rect">
          <a:avLst/>
        </a:prstGeom>
      </xdr:spPr>
    </xdr:pic>
    <xdr:clientData/>
  </xdr:twoCellAnchor>
  <xdr:twoCellAnchor>
    <xdr:from>
      <xdr:col>6</xdr:col>
      <xdr:colOff>38100</xdr:colOff>
      <xdr:row>16</xdr:row>
      <xdr:rowOff>123825</xdr:rowOff>
    </xdr:from>
    <xdr:to>
      <xdr:col>6</xdr:col>
      <xdr:colOff>657225</xdr:colOff>
      <xdr:row>16</xdr:row>
      <xdr:rowOff>123825</xdr:rowOff>
    </xdr:to>
    <xdr:cxnSp macro="">
      <xdr:nvCxnSpPr>
        <xdr:cNvPr id="13" name="Lige pilforbindelse 12">
          <a:extLst>
            <a:ext uri="{FF2B5EF4-FFF2-40B4-BE49-F238E27FC236}">
              <a16:creationId xmlns:a16="http://schemas.microsoft.com/office/drawing/2014/main" id="{055DB48E-E030-E4DD-30EA-E0B8F002E13B}"/>
            </a:ext>
          </a:extLst>
        </xdr:cNvPr>
        <xdr:cNvCxnSpPr/>
      </xdr:nvCxnSpPr>
      <xdr:spPr>
        <a:xfrm flipH="1">
          <a:off x="5514975" y="3514725"/>
          <a:ext cx="619125" cy="0"/>
        </a:xfrm>
        <a:prstGeom prst="straightConnector1">
          <a:avLst/>
        </a:prstGeom>
        <a:ln>
          <a:solidFill>
            <a:schemeClr val="tx1">
              <a:lumMod val="50000"/>
              <a:lumOff val="5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12</xdr:col>
      <xdr:colOff>3008313</xdr:colOff>
      <xdr:row>22</xdr:row>
      <xdr:rowOff>172616</xdr:rowOff>
    </xdr:from>
    <xdr:to>
      <xdr:col>12</xdr:col>
      <xdr:colOff>3711000</xdr:colOff>
      <xdr:row>26</xdr:row>
      <xdr:rowOff>47187</xdr:rowOff>
    </xdr:to>
    <xdr:pic>
      <xdr:nvPicPr>
        <xdr:cNvPr id="3" name="Billede 2">
          <a:extLst>
            <a:ext uri="{FF2B5EF4-FFF2-40B4-BE49-F238E27FC236}">
              <a16:creationId xmlns:a16="http://schemas.microsoft.com/office/drawing/2014/main" id="{876F8DD4-33EF-4A89-9F7A-B31EABBD743F}"/>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70618"/>
        <a:stretch/>
      </xdr:blipFill>
      <xdr:spPr>
        <a:xfrm>
          <a:off x="12160251" y="4617616"/>
          <a:ext cx="702687" cy="763571"/>
        </a:xfrm>
        <a:prstGeom prst="rect">
          <a:avLst/>
        </a:prstGeom>
      </xdr:spPr>
    </xdr:pic>
    <xdr:clientData/>
  </xdr:twoCellAnchor>
  <xdr:twoCellAnchor editAs="oneCell">
    <xdr:from>
      <xdr:col>10</xdr:col>
      <xdr:colOff>603250</xdr:colOff>
      <xdr:row>9</xdr:row>
      <xdr:rowOff>110400</xdr:rowOff>
    </xdr:from>
    <xdr:to>
      <xdr:col>12</xdr:col>
      <xdr:colOff>1027235</xdr:colOff>
      <xdr:row>16</xdr:row>
      <xdr:rowOff>137549</xdr:rowOff>
    </xdr:to>
    <xdr:pic>
      <xdr:nvPicPr>
        <xdr:cNvPr id="5" name="Billede 4">
          <a:extLst>
            <a:ext uri="{FF2B5EF4-FFF2-40B4-BE49-F238E27FC236}">
              <a16:creationId xmlns:a16="http://schemas.microsoft.com/office/drawing/2014/main" id="{E69054EB-012E-6B18-A5D3-32CA2CD0B477}"/>
            </a:ext>
          </a:extLst>
        </xdr:cNvPr>
        <xdr:cNvPicPr>
          <a:picLocks noChangeAspect="1"/>
        </xdr:cNvPicPr>
      </xdr:nvPicPr>
      <xdr:blipFill>
        <a:blip xmlns:r="http://schemas.openxmlformats.org/officeDocument/2006/relationships" r:embed="rId3"/>
        <a:stretch>
          <a:fillRect/>
        </a:stretch>
      </xdr:blipFill>
      <xdr:spPr>
        <a:xfrm>
          <a:off x="8477250" y="2031275"/>
          <a:ext cx="1924173" cy="1563623"/>
        </a:xfrm>
        <a:prstGeom prst="rect">
          <a:avLst/>
        </a:prstGeom>
      </xdr:spPr>
    </xdr:pic>
    <xdr:clientData/>
  </xdr:twoCellAnchor>
  <xdr:twoCellAnchor editAs="oneCell">
    <xdr:from>
      <xdr:col>12</xdr:col>
      <xdr:colOff>1075780</xdr:colOff>
      <xdr:row>9</xdr:row>
      <xdr:rowOff>115659</xdr:rowOff>
    </xdr:from>
    <xdr:to>
      <xdr:col>13</xdr:col>
      <xdr:colOff>33317</xdr:colOff>
      <xdr:row>16</xdr:row>
      <xdr:rowOff>1236</xdr:rowOff>
    </xdr:to>
    <xdr:pic>
      <xdr:nvPicPr>
        <xdr:cNvPr id="6" name="Billede 5">
          <a:extLst>
            <a:ext uri="{FF2B5EF4-FFF2-40B4-BE49-F238E27FC236}">
              <a16:creationId xmlns:a16="http://schemas.microsoft.com/office/drawing/2014/main" id="{4FD923C4-0394-25B7-8BCE-346235DEF194}"/>
            </a:ext>
          </a:extLst>
        </xdr:cNvPr>
        <xdr:cNvPicPr>
          <a:picLocks noChangeAspect="1"/>
        </xdr:cNvPicPr>
      </xdr:nvPicPr>
      <xdr:blipFill>
        <a:blip xmlns:r="http://schemas.openxmlformats.org/officeDocument/2006/relationships" r:embed="rId4"/>
        <a:stretch>
          <a:fillRect/>
        </a:stretch>
      </xdr:blipFill>
      <xdr:spPr>
        <a:xfrm>
          <a:off x="10464709" y="2034266"/>
          <a:ext cx="2679090" cy="14015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12</xdr:col>
      <xdr:colOff>22860</xdr:colOff>
      <xdr:row>32</xdr:row>
      <xdr:rowOff>30730</xdr:rowOff>
    </xdr:to>
    <xdr:graphicFrame macro="">
      <xdr:nvGraphicFramePr>
        <xdr:cNvPr id="41" name="Diagram 40">
          <a:extLst>
            <a:ext uri="{FF2B5EF4-FFF2-40B4-BE49-F238E27FC236}">
              <a16:creationId xmlns:a16="http://schemas.microsoft.com/office/drawing/2014/main" id="{7C49F8D1-3677-4F27-BF76-98F305FA958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33</xdr:row>
      <xdr:rowOff>0</xdr:rowOff>
    </xdr:from>
    <xdr:to>
      <xdr:col>12</xdr:col>
      <xdr:colOff>22860</xdr:colOff>
      <xdr:row>65</xdr:row>
      <xdr:rowOff>116455</xdr:rowOff>
    </xdr:to>
    <xdr:graphicFrame macro="">
      <xdr:nvGraphicFramePr>
        <xdr:cNvPr id="44" name="Diagram 43">
          <a:extLst>
            <a:ext uri="{FF2B5EF4-FFF2-40B4-BE49-F238E27FC236}">
              <a16:creationId xmlns:a16="http://schemas.microsoft.com/office/drawing/2014/main" id="{BBC2B45A-436F-41DE-ADFC-B190DBADC9E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66</xdr:row>
      <xdr:rowOff>0</xdr:rowOff>
    </xdr:from>
    <xdr:to>
      <xdr:col>12</xdr:col>
      <xdr:colOff>22860</xdr:colOff>
      <xdr:row>98</xdr:row>
      <xdr:rowOff>116455</xdr:rowOff>
    </xdr:to>
    <xdr:graphicFrame macro="">
      <xdr:nvGraphicFramePr>
        <xdr:cNvPr id="45" name="Diagram 44">
          <a:extLst>
            <a:ext uri="{FF2B5EF4-FFF2-40B4-BE49-F238E27FC236}">
              <a16:creationId xmlns:a16="http://schemas.microsoft.com/office/drawing/2014/main" id="{472EB909-6A30-49FB-AF73-580BB72EDA2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586350</xdr:colOff>
      <xdr:row>7</xdr:row>
      <xdr:rowOff>1050</xdr:rowOff>
    </xdr:to>
    <xdr:graphicFrame macro="">
      <xdr:nvGraphicFramePr>
        <xdr:cNvPr id="25" name="Diagram 24">
          <a:extLst>
            <a:ext uri="{FF2B5EF4-FFF2-40B4-BE49-F238E27FC236}">
              <a16:creationId xmlns:a16="http://schemas.microsoft.com/office/drawing/2014/main" id="{F648C67A-AFCF-4D40-97AA-167E8DDBEE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4</xdr:col>
      <xdr:colOff>0</xdr:colOff>
      <xdr:row>0</xdr:row>
      <xdr:rowOff>0</xdr:rowOff>
    </xdr:from>
    <xdr:to>
      <xdr:col>7</xdr:col>
      <xdr:colOff>586350</xdr:colOff>
      <xdr:row>7</xdr:row>
      <xdr:rowOff>1050</xdr:rowOff>
    </xdr:to>
    <xdr:graphicFrame macro="">
      <xdr:nvGraphicFramePr>
        <xdr:cNvPr id="29" name="Diagram 28">
          <a:extLst>
            <a:ext uri="{FF2B5EF4-FFF2-40B4-BE49-F238E27FC236}">
              <a16:creationId xmlns:a16="http://schemas.microsoft.com/office/drawing/2014/main" id="{982A80BF-0C57-4053-AAB0-57078D1D1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7</xdr:row>
      <xdr:rowOff>0</xdr:rowOff>
    </xdr:from>
    <xdr:to>
      <xdr:col>3</xdr:col>
      <xdr:colOff>586350</xdr:colOff>
      <xdr:row>14</xdr:row>
      <xdr:rowOff>1050</xdr:rowOff>
    </xdr:to>
    <xdr:graphicFrame macro="">
      <xdr:nvGraphicFramePr>
        <xdr:cNvPr id="30" name="Diagram 29">
          <a:extLst>
            <a:ext uri="{FF2B5EF4-FFF2-40B4-BE49-F238E27FC236}">
              <a16:creationId xmlns:a16="http://schemas.microsoft.com/office/drawing/2014/main" id="{BFE2CD5E-2904-4AB3-9DAF-500C707C9B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0</xdr:col>
      <xdr:colOff>0</xdr:colOff>
      <xdr:row>14</xdr:row>
      <xdr:rowOff>0</xdr:rowOff>
    </xdr:from>
    <xdr:to>
      <xdr:col>3</xdr:col>
      <xdr:colOff>586350</xdr:colOff>
      <xdr:row>21</xdr:row>
      <xdr:rowOff>1050</xdr:rowOff>
    </xdr:to>
    <xdr:graphicFrame macro="">
      <xdr:nvGraphicFramePr>
        <xdr:cNvPr id="31" name="Diagram 30">
          <a:extLst>
            <a:ext uri="{FF2B5EF4-FFF2-40B4-BE49-F238E27FC236}">
              <a16:creationId xmlns:a16="http://schemas.microsoft.com/office/drawing/2014/main" id="{F3F00073-ABCC-4D75-A3F4-9E6852AB7B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4</xdr:col>
      <xdr:colOff>0</xdr:colOff>
      <xdr:row>7</xdr:row>
      <xdr:rowOff>0</xdr:rowOff>
    </xdr:from>
    <xdr:to>
      <xdr:col>7</xdr:col>
      <xdr:colOff>586350</xdr:colOff>
      <xdr:row>14</xdr:row>
      <xdr:rowOff>1050</xdr:rowOff>
    </xdr:to>
    <xdr:graphicFrame macro="">
      <xdr:nvGraphicFramePr>
        <xdr:cNvPr id="33" name="Diagram 32">
          <a:extLst>
            <a:ext uri="{FF2B5EF4-FFF2-40B4-BE49-F238E27FC236}">
              <a16:creationId xmlns:a16="http://schemas.microsoft.com/office/drawing/2014/main" id="{05A63CA5-D685-4259-8707-B95350A413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4</xdr:col>
      <xdr:colOff>0</xdr:colOff>
      <xdr:row>14</xdr:row>
      <xdr:rowOff>0</xdr:rowOff>
    </xdr:from>
    <xdr:to>
      <xdr:col>7</xdr:col>
      <xdr:colOff>586350</xdr:colOff>
      <xdr:row>21</xdr:row>
      <xdr:rowOff>1050</xdr:rowOff>
    </xdr:to>
    <xdr:graphicFrame macro="">
      <xdr:nvGraphicFramePr>
        <xdr:cNvPr id="34" name="Diagram 33">
          <a:extLst>
            <a:ext uri="{FF2B5EF4-FFF2-40B4-BE49-F238E27FC236}">
              <a16:creationId xmlns:a16="http://schemas.microsoft.com/office/drawing/2014/main" id="{F741295A-B3CF-4279-8E91-8BA2738A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8</xdr:col>
      <xdr:colOff>0</xdr:colOff>
      <xdr:row>0</xdr:row>
      <xdr:rowOff>0</xdr:rowOff>
    </xdr:from>
    <xdr:to>
      <xdr:col>11</xdr:col>
      <xdr:colOff>586350</xdr:colOff>
      <xdr:row>7</xdr:row>
      <xdr:rowOff>1050</xdr:rowOff>
    </xdr:to>
    <xdr:graphicFrame macro="">
      <xdr:nvGraphicFramePr>
        <xdr:cNvPr id="36" name="Diagram 35">
          <a:extLst>
            <a:ext uri="{FF2B5EF4-FFF2-40B4-BE49-F238E27FC236}">
              <a16:creationId xmlns:a16="http://schemas.microsoft.com/office/drawing/2014/main" id="{DF3BEDDE-CEA4-4EC8-95FE-997A0D160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12</xdr:col>
      <xdr:colOff>0</xdr:colOff>
      <xdr:row>0</xdr:row>
      <xdr:rowOff>0</xdr:rowOff>
    </xdr:from>
    <xdr:to>
      <xdr:col>15</xdr:col>
      <xdr:colOff>586350</xdr:colOff>
      <xdr:row>7</xdr:row>
      <xdr:rowOff>1050</xdr:rowOff>
    </xdr:to>
    <xdr:graphicFrame macro="">
      <xdr:nvGraphicFramePr>
        <xdr:cNvPr id="37" name="Diagram 36">
          <a:extLst>
            <a:ext uri="{FF2B5EF4-FFF2-40B4-BE49-F238E27FC236}">
              <a16:creationId xmlns:a16="http://schemas.microsoft.com/office/drawing/2014/main" id="{50E1017C-D662-4F61-9B00-F64D95947C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16</xdr:col>
      <xdr:colOff>0</xdr:colOff>
      <xdr:row>0</xdr:row>
      <xdr:rowOff>0</xdr:rowOff>
    </xdr:from>
    <xdr:to>
      <xdr:col>19</xdr:col>
      <xdr:colOff>586350</xdr:colOff>
      <xdr:row>7</xdr:row>
      <xdr:rowOff>1050</xdr:rowOff>
    </xdr:to>
    <xdr:graphicFrame macro="">
      <xdr:nvGraphicFramePr>
        <xdr:cNvPr id="38" name="Diagram 37">
          <a:extLst>
            <a:ext uri="{FF2B5EF4-FFF2-40B4-BE49-F238E27FC236}">
              <a16:creationId xmlns:a16="http://schemas.microsoft.com/office/drawing/2014/main" id="{5188BF8E-08AE-4E20-87F9-77F9FF2A3A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20</xdr:col>
      <xdr:colOff>0</xdr:colOff>
      <xdr:row>0</xdr:row>
      <xdr:rowOff>0</xdr:rowOff>
    </xdr:from>
    <xdr:to>
      <xdr:col>23</xdr:col>
      <xdr:colOff>586350</xdr:colOff>
      <xdr:row>7</xdr:row>
      <xdr:rowOff>1050</xdr:rowOff>
    </xdr:to>
    <xdr:graphicFrame macro="">
      <xdr:nvGraphicFramePr>
        <xdr:cNvPr id="39" name="Diagram 38">
          <a:extLst>
            <a:ext uri="{FF2B5EF4-FFF2-40B4-BE49-F238E27FC236}">
              <a16:creationId xmlns:a16="http://schemas.microsoft.com/office/drawing/2014/main" id="{CD7E4B8A-744A-452E-A63F-3EE11CEB7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8</xdr:col>
      <xdr:colOff>0</xdr:colOff>
      <xdr:row>7</xdr:row>
      <xdr:rowOff>0</xdr:rowOff>
    </xdr:from>
    <xdr:to>
      <xdr:col>11</xdr:col>
      <xdr:colOff>586350</xdr:colOff>
      <xdr:row>14</xdr:row>
      <xdr:rowOff>1050</xdr:rowOff>
    </xdr:to>
    <xdr:graphicFrame macro="">
      <xdr:nvGraphicFramePr>
        <xdr:cNvPr id="40" name="Diagram 39">
          <a:extLst>
            <a:ext uri="{FF2B5EF4-FFF2-40B4-BE49-F238E27FC236}">
              <a16:creationId xmlns:a16="http://schemas.microsoft.com/office/drawing/2014/main" id="{1949AF15-A988-4F18-B40D-0ED3E1C252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8</xdr:col>
      <xdr:colOff>0</xdr:colOff>
      <xdr:row>14</xdr:row>
      <xdr:rowOff>0</xdr:rowOff>
    </xdr:from>
    <xdr:to>
      <xdr:col>11</xdr:col>
      <xdr:colOff>586350</xdr:colOff>
      <xdr:row>21</xdr:row>
      <xdr:rowOff>1050</xdr:rowOff>
    </xdr:to>
    <xdr:graphicFrame macro="">
      <xdr:nvGraphicFramePr>
        <xdr:cNvPr id="41" name="Diagram 40">
          <a:extLst>
            <a:ext uri="{FF2B5EF4-FFF2-40B4-BE49-F238E27FC236}">
              <a16:creationId xmlns:a16="http://schemas.microsoft.com/office/drawing/2014/main" id="{30825FF6-D2BC-43CC-82A0-9593AC4549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12</xdr:col>
      <xdr:colOff>0</xdr:colOff>
      <xdr:row>7</xdr:row>
      <xdr:rowOff>0</xdr:rowOff>
    </xdr:from>
    <xdr:to>
      <xdr:col>15</xdr:col>
      <xdr:colOff>586350</xdr:colOff>
      <xdr:row>14</xdr:row>
      <xdr:rowOff>1050</xdr:rowOff>
    </xdr:to>
    <xdr:graphicFrame macro="">
      <xdr:nvGraphicFramePr>
        <xdr:cNvPr id="43" name="Diagram 42">
          <a:extLst>
            <a:ext uri="{FF2B5EF4-FFF2-40B4-BE49-F238E27FC236}">
              <a16:creationId xmlns:a16="http://schemas.microsoft.com/office/drawing/2014/main" id="{F9CF6785-B13C-43AA-AC60-433B6EF217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12</xdr:col>
      <xdr:colOff>0</xdr:colOff>
      <xdr:row>14</xdr:row>
      <xdr:rowOff>0</xdr:rowOff>
    </xdr:from>
    <xdr:to>
      <xdr:col>15</xdr:col>
      <xdr:colOff>586350</xdr:colOff>
      <xdr:row>21</xdr:row>
      <xdr:rowOff>1050</xdr:rowOff>
    </xdr:to>
    <xdr:graphicFrame macro="">
      <xdr:nvGraphicFramePr>
        <xdr:cNvPr id="44" name="Diagram 43">
          <a:extLst>
            <a:ext uri="{FF2B5EF4-FFF2-40B4-BE49-F238E27FC236}">
              <a16:creationId xmlns:a16="http://schemas.microsoft.com/office/drawing/2014/main" id="{F2516EB9-CC6F-4262-BF8E-855482C11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16</xdr:col>
      <xdr:colOff>0</xdr:colOff>
      <xdr:row>7</xdr:row>
      <xdr:rowOff>0</xdr:rowOff>
    </xdr:from>
    <xdr:to>
      <xdr:col>19</xdr:col>
      <xdr:colOff>586350</xdr:colOff>
      <xdr:row>14</xdr:row>
      <xdr:rowOff>1050</xdr:rowOff>
    </xdr:to>
    <xdr:graphicFrame macro="">
      <xdr:nvGraphicFramePr>
        <xdr:cNvPr id="46" name="Diagram 45">
          <a:extLst>
            <a:ext uri="{FF2B5EF4-FFF2-40B4-BE49-F238E27FC236}">
              <a16:creationId xmlns:a16="http://schemas.microsoft.com/office/drawing/2014/main" id="{1F1425E1-15DD-45B4-9CC8-53E0871EF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16</xdr:col>
      <xdr:colOff>0</xdr:colOff>
      <xdr:row>14</xdr:row>
      <xdr:rowOff>0</xdr:rowOff>
    </xdr:from>
    <xdr:to>
      <xdr:col>19</xdr:col>
      <xdr:colOff>586350</xdr:colOff>
      <xdr:row>21</xdr:row>
      <xdr:rowOff>1050</xdr:rowOff>
    </xdr:to>
    <xdr:graphicFrame macro="">
      <xdr:nvGraphicFramePr>
        <xdr:cNvPr id="47" name="Diagram 46">
          <a:extLst>
            <a:ext uri="{FF2B5EF4-FFF2-40B4-BE49-F238E27FC236}">
              <a16:creationId xmlns:a16="http://schemas.microsoft.com/office/drawing/2014/main" id="{A3056248-8AD3-47AF-907C-A6F0611478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20</xdr:col>
      <xdr:colOff>0</xdr:colOff>
      <xdr:row>7</xdr:row>
      <xdr:rowOff>0</xdr:rowOff>
    </xdr:from>
    <xdr:to>
      <xdr:col>23</xdr:col>
      <xdr:colOff>586350</xdr:colOff>
      <xdr:row>14</xdr:row>
      <xdr:rowOff>1050</xdr:rowOff>
    </xdr:to>
    <xdr:graphicFrame macro="">
      <xdr:nvGraphicFramePr>
        <xdr:cNvPr id="48" name="Diagram 47">
          <a:extLst>
            <a:ext uri="{FF2B5EF4-FFF2-40B4-BE49-F238E27FC236}">
              <a16:creationId xmlns:a16="http://schemas.microsoft.com/office/drawing/2014/main" id="{A144A7EA-E649-448E-8C95-3C6DC1F03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0</xdr:colOff>
      <xdr:row>14</xdr:row>
      <xdr:rowOff>0</xdr:rowOff>
    </xdr:from>
    <xdr:to>
      <xdr:col>23</xdr:col>
      <xdr:colOff>586350</xdr:colOff>
      <xdr:row>21</xdr:row>
      <xdr:rowOff>1050</xdr:rowOff>
    </xdr:to>
    <xdr:graphicFrame macro="">
      <xdr:nvGraphicFramePr>
        <xdr:cNvPr id="49" name="Diagram 48">
          <a:extLst>
            <a:ext uri="{FF2B5EF4-FFF2-40B4-BE49-F238E27FC236}">
              <a16:creationId xmlns:a16="http://schemas.microsoft.com/office/drawing/2014/main" id="{D28224E7-1906-4C7A-A5FD-F787EED2C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0</xdr:col>
      <xdr:colOff>0</xdr:colOff>
      <xdr:row>21</xdr:row>
      <xdr:rowOff>0</xdr:rowOff>
    </xdr:from>
    <xdr:to>
      <xdr:col>3</xdr:col>
      <xdr:colOff>586350</xdr:colOff>
      <xdr:row>31</xdr:row>
      <xdr:rowOff>67725</xdr:rowOff>
    </xdr:to>
    <xdr:graphicFrame macro="">
      <xdr:nvGraphicFramePr>
        <xdr:cNvPr id="10" name="Diagram 9">
          <a:extLst>
            <a:ext uri="{FF2B5EF4-FFF2-40B4-BE49-F238E27FC236}">
              <a16:creationId xmlns:a16="http://schemas.microsoft.com/office/drawing/2014/main" id="{96FB0D56-E38D-46D8-BBCB-790A764EB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absolute">
    <xdr:from>
      <xdr:col>4</xdr:col>
      <xdr:colOff>0</xdr:colOff>
      <xdr:row>21</xdr:row>
      <xdr:rowOff>0</xdr:rowOff>
    </xdr:from>
    <xdr:to>
      <xdr:col>7</xdr:col>
      <xdr:colOff>586350</xdr:colOff>
      <xdr:row>31</xdr:row>
      <xdr:rowOff>67725</xdr:rowOff>
    </xdr:to>
    <xdr:graphicFrame macro="">
      <xdr:nvGraphicFramePr>
        <xdr:cNvPr id="11" name="Diagram 10">
          <a:extLst>
            <a:ext uri="{FF2B5EF4-FFF2-40B4-BE49-F238E27FC236}">
              <a16:creationId xmlns:a16="http://schemas.microsoft.com/office/drawing/2014/main" id="{E6597DBD-B5AA-4D40-9D58-7C0BE41152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absolute">
    <xdr:from>
      <xdr:col>8</xdr:col>
      <xdr:colOff>0</xdr:colOff>
      <xdr:row>21</xdr:row>
      <xdr:rowOff>0</xdr:rowOff>
    </xdr:from>
    <xdr:to>
      <xdr:col>11</xdr:col>
      <xdr:colOff>586350</xdr:colOff>
      <xdr:row>31</xdr:row>
      <xdr:rowOff>67725</xdr:rowOff>
    </xdr:to>
    <xdr:graphicFrame macro="">
      <xdr:nvGraphicFramePr>
        <xdr:cNvPr id="12" name="Diagram 11">
          <a:extLst>
            <a:ext uri="{FF2B5EF4-FFF2-40B4-BE49-F238E27FC236}">
              <a16:creationId xmlns:a16="http://schemas.microsoft.com/office/drawing/2014/main" id="{221A0D6A-5234-49D9-B7A1-031114CF7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absolute">
    <xdr:from>
      <xdr:col>12</xdr:col>
      <xdr:colOff>0</xdr:colOff>
      <xdr:row>21</xdr:row>
      <xdr:rowOff>0</xdr:rowOff>
    </xdr:from>
    <xdr:to>
      <xdr:col>15</xdr:col>
      <xdr:colOff>586350</xdr:colOff>
      <xdr:row>31</xdr:row>
      <xdr:rowOff>67725</xdr:rowOff>
    </xdr:to>
    <xdr:graphicFrame macro="">
      <xdr:nvGraphicFramePr>
        <xdr:cNvPr id="13" name="Diagram 12">
          <a:extLst>
            <a:ext uri="{FF2B5EF4-FFF2-40B4-BE49-F238E27FC236}">
              <a16:creationId xmlns:a16="http://schemas.microsoft.com/office/drawing/2014/main" id="{1593DE79-D449-42EA-8DAE-BEF31EB04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27</xdr:col>
      <xdr:colOff>190500</xdr:colOff>
      <xdr:row>34</xdr:row>
      <xdr:rowOff>20601</xdr:rowOff>
    </xdr:from>
    <xdr:to>
      <xdr:col>28</xdr:col>
      <xdr:colOff>505691</xdr:colOff>
      <xdr:row>38</xdr:row>
      <xdr:rowOff>176832</xdr:rowOff>
    </xdr:to>
    <xdr:pic>
      <xdr:nvPicPr>
        <xdr:cNvPr id="3" name="Billede 2">
          <a:extLst>
            <a:ext uri="{FF2B5EF4-FFF2-40B4-BE49-F238E27FC236}">
              <a16:creationId xmlns:a16="http://schemas.microsoft.com/office/drawing/2014/main" id="{0249A127-8476-4E05-B435-7D2080013F94}"/>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70390"/>
        <a:stretch/>
      </xdr:blipFill>
      <xdr:spPr>
        <a:xfrm>
          <a:off x="17483667" y="7894601"/>
          <a:ext cx="971357" cy="10452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1191862</xdr:colOff>
      <xdr:row>30</xdr:row>
      <xdr:rowOff>94573</xdr:rowOff>
    </xdr:from>
    <xdr:to>
      <xdr:col>7</xdr:col>
      <xdr:colOff>4021694</xdr:colOff>
      <xdr:row>32</xdr:row>
      <xdr:rowOff>89219</xdr:rowOff>
    </xdr:to>
    <xdr:pic>
      <xdr:nvPicPr>
        <xdr:cNvPr id="2" name="Billede 1">
          <a:extLst>
            <a:ext uri="{FF2B5EF4-FFF2-40B4-BE49-F238E27FC236}">
              <a16:creationId xmlns:a16="http://schemas.microsoft.com/office/drawing/2014/main" id="{E80143F4-2C02-4ECE-9CE6-B777CA415EA9}"/>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6517203" y="6207891"/>
          <a:ext cx="2829832" cy="9038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666750</xdr:colOff>
      <xdr:row>52</xdr:row>
      <xdr:rowOff>114300</xdr:rowOff>
    </xdr:from>
    <xdr:to>
      <xdr:col>26</xdr:col>
      <xdr:colOff>571500</xdr:colOff>
      <xdr:row>58</xdr:row>
      <xdr:rowOff>75798</xdr:rowOff>
    </xdr:to>
    <xdr:pic>
      <xdr:nvPicPr>
        <xdr:cNvPr id="6" name="Billede 5">
          <a:extLst>
            <a:ext uri="{FF2B5EF4-FFF2-40B4-BE49-F238E27FC236}">
              <a16:creationId xmlns:a16="http://schemas.microsoft.com/office/drawing/2014/main" id="{5BD89D75-E99B-4E13-95AA-6BEE36233CFF}"/>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4420850" y="9439275"/>
          <a:ext cx="3467100" cy="110449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123823</xdr:colOff>
      <xdr:row>4</xdr:row>
      <xdr:rowOff>180975</xdr:rowOff>
    </xdr:from>
    <xdr:to>
      <xdr:col>4</xdr:col>
      <xdr:colOff>2240398</xdr:colOff>
      <xdr:row>13</xdr:row>
      <xdr:rowOff>262189</xdr:rowOff>
    </xdr:to>
    <xdr:pic>
      <xdr:nvPicPr>
        <xdr:cNvPr id="2" name="Picture 3">
          <a:extLst>
            <a:ext uri="{FF2B5EF4-FFF2-40B4-BE49-F238E27FC236}">
              <a16:creationId xmlns:a16="http://schemas.microsoft.com/office/drawing/2014/main" id="{AAED7E03-A92B-4460-99BC-80E86335E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2623" y="942975"/>
          <a:ext cx="1097400" cy="171951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oneCellAnchor>
    <xdr:from>
      <xdr:col>5</xdr:col>
      <xdr:colOff>228600</xdr:colOff>
      <xdr:row>4</xdr:row>
      <xdr:rowOff>190499</xdr:rowOff>
    </xdr:from>
    <xdr:ext cx="545902" cy="1826895"/>
    <xdr:pic>
      <xdr:nvPicPr>
        <xdr:cNvPr id="3" name="Picture 9">
          <a:extLst>
            <a:ext uri="{FF2B5EF4-FFF2-40B4-BE49-F238E27FC236}">
              <a16:creationId xmlns:a16="http://schemas.microsoft.com/office/drawing/2014/main" id="{97EE4D6D-758E-4A7E-B8FF-4936880A703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91" t="4510" r="2220" b="7021"/>
        <a:stretch>
          <a:fillRect/>
        </a:stretch>
      </xdr:blipFill>
      <xdr:spPr bwMode="auto">
        <a:xfrm>
          <a:off x="3276600" y="952499"/>
          <a:ext cx="545902" cy="1826895"/>
        </a:xfrm>
        <a:prstGeom prst="rect">
          <a:avLst/>
        </a:prstGeom>
        <a:noFill/>
        <a:ln>
          <a:noFill/>
        </a:ln>
      </xdr:spPr>
    </xdr:pic>
    <xdr:clientData/>
  </xdr:oneCellAnchor>
  <xdr:twoCellAnchor>
    <xdr:from>
      <xdr:col>6</xdr:col>
      <xdr:colOff>47459</xdr:colOff>
      <xdr:row>7</xdr:row>
      <xdr:rowOff>74831</xdr:rowOff>
    </xdr:from>
    <xdr:to>
      <xdr:col>6</xdr:col>
      <xdr:colOff>800100</xdr:colOff>
      <xdr:row>9</xdr:row>
      <xdr:rowOff>223605</xdr:rowOff>
    </xdr:to>
    <xdr:sp macro="" textlink="">
      <xdr:nvSpPr>
        <xdr:cNvPr id="4" name="TextBox 3">
          <a:extLst>
            <a:ext uri="{FF2B5EF4-FFF2-40B4-BE49-F238E27FC236}">
              <a16:creationId xmlns:a16="http://schemas.microsoft.com/office/drawing/2014/main" id="{EE3664E4-A94B-41E9-A81A-4286C25ACB5C}"/>
            </a:ext>
          </a:extLst>
        </xdr:cNvPr>
        <xdr:cNvSpPr txBox="1"/>
      </xdr:nvSpPr>
      <xdr:spPr>
        <a:xfrm>
          <a:off x="3705059" y="1408331"/>
          <a:ext cx="562141" cy="501199"/>
        </a:xfrm>
        <a:prstGeom prst="rect">
          <a:avLst/>
        </a:prstGeom>
        <a:noFill/>
      </xdr:spPr>
      <xdr:txBody>
        <a:bodyPr wrap="square" rtlCol="0">
          <a:spAutoFit/>
        </a:bodyPr>
        <a:lstStyle>
          <a:defPPr>
            <a:defRPr lang="da-DK"/>
          </a:defPPr>
          <a:lvl1pPr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1pPr>
          <a:lvl2pPr marL="4572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2pPr>
          <a:lvl3pPr marL="9144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3pPr>
          <a:lvl4pPr marL="13716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4pPr>
          <a:lvl5pPr marL="1828800" algn="l" rtl="0" fontAlgn="base">
            <a:spcBef>
              <a:spcPct val="50000"/>
            </a:spcBef>
            <a:spcAft>
              <a:spcPct val="0"/>
            </a:spcAft>
            <a:defRPr sz="1600" kern="1200">
              <a:solidFill>
                <a:schemeClr val="tx1"/>
              </a:solidFill>
              <a:latin typeface="Verdana" pitchFamily="34" charset="0"/>
              <a:ea typeface="ＭＳ Ｐゴシック" pitchFamily="-80" charset="-128"/>
              <a:cs typeface="+mn-cs"/>
            </a:defRPr>
          </a:lvl5pPr>
          <a:lvl6pPr marL="2286000" algn="l" defTabSz="914400" rtl="0" eaLnBrk="1" latinLnBrk="0" hangingPunct="1">
            <a:defRPr sz="1600" kern="1200">
              <a:solidFill>
                <a:schemeClr val="tx1"/>
              </a:solidFill>
              <a:latin typeface="Verdana" pitchFamily="34" charset="0"/>
              <a:ea typeface="ＭＳ Ｐゴシック" pitchFamily="-80" charset="-128"/>
              <a:cs typeface="+mn-cs"/>
            </a:defRPr>
          </a:lvl6pPr>
          <a:lvl7pPr marL="2743200" algn="l" defTabSz="914400" rtl="0" eaLnBrk="1" latinLnBrk="0" hangingPunct="1">
            <a:defRPr sz="1600" kern="1200">
              <a:solidFill>
                <a:schemeClr val="tx1"/>
              </a:solidFill>
              <a:latin typeface="Verdana" pitchFamily="34" charset="0"/>
              <a:ea typeface="ＭＳ Ｐゴシック" pitchFamily="-80" charset="-128"/>
              <a:cs typeface="+mn-cs"/>
            </a:defRPr>
          </a:lvl7pPr>
          <a:lvl8pPr marL="3200400" algn="l" defTabSz="914400" rtl="0" eaLnBrk="1" latinLnBrk="0" hangingPunct="1">
            <a:defRPr sz="1600" kern="1200">
              <a:solidFill>
                <a:schemeClr val="tx1"/>
              </a:solidFill>
              <a:latin typeface="Verdana" pitchFamily="34" charset="0"/>
              <a:ea typeface="ＭＳ Ｐゴシック" pitchFamily="-80" charset="-128"/>
              <a:cs typeface="+mn-cs"/>
            </a:defRPr>
          </a:lvl8pPr>
          <a:lvl9pPr marL="3657600" algn="l" defTabSz="914400" rtl="0" eaLnBrk="1" latinLnBrk="0" hangingPunct="1">
            <a:defRPr sz="1600" kern="1200">
              <a:solidFill>
                <a:schemeClr val="tx1"/>
              </a:solidFill>
              <a:latin typeface="Verdana" pitchFamily="34" charset="0"/>
              <a:ea typeface="ＭＳ Ｐゴシック" pitchFamily="-80" charset="-128"/>
              <a:cs typeface="+mn-cs"/>
            </a:defRPr>
          </a:lvl9pPr>
        </a:lstStyle>
        <a:p>
          <a:r>
            <a:rPr lang="da-DK" sz="4000">
              <a:latin typeface="Arial" pitchFamily="34" charset="0"/>
              <a:cs typeface="Arial" pitchFamily="34" charset="0"/>
            </a:rPr>
            <a:t>C</a:t>
          </a:r>
          <a:r>
            <a:rPr lang="da-DK" sz="4000" baseline="-25000">
              <a:latin typeface="Arial" pitchFamily="34" charset="0"/>
              <a:cs typeface="Arial" pitchFamily="34" charset="0"/>
            </a:rPr>
            <a:t>t</a:t>
          </a:r>
          <a:endParaRPr lang="en-US" sz="4000" baseline="-25000">
            <a:latin typeface="Arial" pitchFamily="34" charset="0"/>
            <a:cs typeface="Arial" pitchFamily="34" charset="0"/>
          </a:endParaRPr>
        </a:p>
      </xdr:txBody>
    </xdr:sp>
    <xdr:clientData/>
  </xdr:twoCellAnchor>
  <xdr:oneCellAnchor>
    <xdr:from>
      <xdr:col>6</xdr:col>
      <xdr:colOff>819150</xdr:colOff>
      <xdr:row>4</xdr:row>
      <xdr:rowOff>95250</xdr:rowOff>
    </xdr:from>
    <xdr:ext cx="2670620" cy="1966863"/>
    <xdr:pic>
      <xdr:nvPicPr>
        <xdr:cNvPr id="5" name="Picture 2">
          <a:extLst>
            <a:ext uri="{FF2B5EF4-FFF2-40B4-BE49-F238E27FC236}">
              <a16:creationId xmlns:a16="http://schemas.microsoft.com/office/drawing/2014/main" id="{A5241B6E-6F34-4503-A20D-145DE9499631}"/>
            </a:ext>
          </a:extLst>
        </xdr:cNvPr>
        <xdr:cNvPicPr>
          <a:picLocks noChangeAspect="1" noChangeArrowheads="1"/>
        </xdr:cNvPicPr>
      </xdr:nvPicPr>
      <xdr:blipFill rotWithShape="1">
        <a:blip xmlns:r="http://schemas.openxmlformats.org/officeDocument/2006/relationships" r:embed="rId3" cstate="print">
          <a:clrChange>
            <a:clrFrom>
              <a:srgbClr val="FDFFFE"/>
            </a:clrFrom>
            <a:clrTo>
              <a:srgbClr val="FDFFFE">
                <a:alpha val="0"/>
              </a:srgbClr>
            </a:clrTo>
          </a:clrChange>
          <a:extLst>
            <a:ext uri="{28A0092B-C50C-407E-A947-70E740481C1C}">
              <a14:useLocalDpi xmlns:a14="http://schemas.microsoft.com/office/drawing/2010/main" val="0"/>
            </a:ext>
          </a:extLst>
        </a:blip>
        <a:srcRect l="72505" t="20409" r="12471" b="59917"/>
        <a:stretch>
          <a:fillRect/>
        </a:stretch>
      </xdr:blipFill>
      <xdr:spPr bwMode="auto">
        <a:xfrm>
          <a:off x="4267200" y="857250"/>
          <a:ext cx="2670620" cy="19668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95251</xdr:colOff>
      <xdr:row>2</xdr:row>
      <xdr:rowOff>42570</xdr:rowOff>
    </xdr:from>
    <xdr:ext cx="1819274" cy="3091155"/>
    <xdr:pic>
      <xdr:nvPicPr>
        <xdr:cNvPr id="6" name="Picture 13" descr="A person wearing headphones and working on a drill&#10;&#10;AI-generated content may be incorrect.">
          <a:extLst>
            <a:ext uri="{FF2B5EF4-FFF2-40B4-BE49-F238E27FC236}">
              <a16:creationId xmlns:a16="http://schemas.microsoft.com/office/drawing/2014/main" id="{CB0EB13F-FF52-45AF-896E-F15BBEBBCDA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flipH="1">
          <a:off x="95251" y="433095"/>
          <a:ext cx="1819274" cy="3091155"/>
        </a:xfrm>
        <a:prstGeom prst="rect">
          <a:avLst/>
        </a:prstGeom>
      </xdr:spPr>
    </xdr:pic>
    <xdr:clientData/>
  </xdr:oneCellAnchor>
  <xdr:twoCellAnchor>
    <xdr:from>
      <xdr:col>4</xdr:col>
      <xdr:colOff>885824</xdr:colOff>
      <xdr:row>6</xdr:row>
      <xdr:rowOff>161925</xdr:rowOff>
    </xdr:from>
    <xdr:to>
      <xdr:col>5</xdr:col>
      <xdr:colOff>71624</xdr:colOff>
      <xdr:row>6</xdr:row>
      <xdr:rowOff>161925</xdr:rowOff>
    </xdr:to>
    <xdr:cxnSp macro="">
      <xdr:nvCxnSpPr>
        <xdr:cNvPr id="7" name="Lige pilforbindelse 6">
          <a:extLst>
            <a:ext uri="{FF2B5EF4-FFF2-40B4-BE49-F238E27FC236}">
              <a16:creationId xmlns:a16="http://schemas.microsoft.com/office/drawing/2014/main" id="{0F428AA0-C5DE-4151-86B6-EA6336901E92}"/>
            </a:ext>
          </a:extLst>
        </xdr:cNvPr>
        <xdr:cNvCxnSpPr/>
      </xdr:nvCxnSpPr>
      <xdr:spPr>
        <a:xfrm>
          <a:off x="3047999" y="1304925"/>
          <a:ext cx="71625" cy="0"/>
        </a:xfrm>
        <a:prstGeom prst="straightConnector1">
          <a:avLst/>
        </a:prstGeom>
        <a:ln w="12700">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3</xdr:col>
      <xdr:colOff>0</xdr:colOff>
      <xdr:row>24</xdr:row>
      <xdr:rowOff>133350</xdr:rowOff>
    </xdr:from>
    <xdr:to>
      <xdr:col>6</xdr:col>
      <xdr:colOff>1052664</xdr:colOff>
      <xdr:row>35</xdr:row>
      <xdr:rowOff>123825</xdr:rowOff>
    </xdr:to>
    <xdr:pic>
      <xdr:nvPicPr>
        <xdr:cNvPr id="9" name="Billede 8">
          <a:extLst>
            <a:ext uri="{FF2B5EF4-FFF2-40B4-BE49-F238E27FC236}">
              <a16:creationId xmlns:a16="http://schemas.microsoft.com/office/drawing/2014/main" id="{DFD44C39-7D48-AC12-A2F7-493AB241F255}"/>
            </a:ext>
          </a:extLst>
        </xdr:cNvPr>
        <xdr:cNvPicPr>
          <a:picLocks noChangeAspect="1"/>
        </xdr:cNvPicPr>
      </xdr:nvPicPr>
      <xdr:blipFill>
        <a:blip xmlns:r="http://schemas.openxmlformats.org/officeDocument/2006/relationships" r:embed="rId5"/>
        <a:stretch>
          <a:fillRect/>
        </a:stretch>
      </xdr:blipFill>
      <xdr:spPr>
        <a:xfrm>
          <a:off x="1933575" y="6029325"/>
          <a:ext cx="4310214" cy="2276475"/>
        </a:xfrm>
        <a:prstGeom prst="rect">
          <a:avLst/>
        </a:prstGeom>
      </xdr:spPr>
    </xdr:pic>
    <xdr:clientData/>
  </xdr:twoCellAnchor>
  <xdr:twoCellAnchor editAs="oneCell">
    <xdr:from>
      <xdr:col>6</xdr:col>
      <xdr:colOff>1257300</xdr:colOff>
      <xdr:row>24</xdr:row>
      <xdr:rowOff>231291</xdr:rowOff>
    </xdr:from>
    <xdr:to>
      <xdr:col>9</xdr:col>
      <xdr:colOff>266700</xdr:colOff>
      <xdr:row>34</xdr:row>
      <xdr:rowOff>57493</xdr:rowOff>
    </xdr:to>
    <xdr:pic>
      <xdr:nvPicPr>
        <xdr:cNvPr id="8" name="Billede 7">
          <a:extLst>
            <a:ext uri="{FF2B5EF4-FFF2-40B4-BE49-F238E27FC236}">
              <a16:creationId xmlns:a16="http://schemas.microsoft.com/office/drawing/2014/main" id="{52F35BE1-57B6-0AEA-DB41-56A7864B5823}"/>
            </a:ext>
          </a:extLst>
        </xdr:cNvPr>
        <xdr:cNvPicPr>
          <a:picLocks noChangeAspect="1"/>
        </xdr:cNvPicPr>
      </xdr:nvPicPr>
      <xdr:blipFill>
        <a:blip xmlns:r="http://schemas.openxmlformats.org/officeDocument/2006/relationships" r:embed="rId6"/>
        <a:stretch>
          <a:fillRect/>
        </a:stretch>
      </xdr:blipFill>
      <xdr:spPr>
        <a:xfrm>
          <a:off x="6448425" y="6127266"/>
          <a:ext cx="4714875" cy="1921702"/>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04999-C4CA-403E-BE7F-B9CC4A5E2325}">
  <sheetPr codeName="Ark1">
    <tabColor rgb="FF193C65"/>
  </sheetPr>
  <dimension ref="A1:N34"/>
  <sheetViews>
    <sheetView tabSelected="1" zoomScale="110" zoomScaleNormal="110" zoomScaleSheetLayoutView="130" workbookViewId="0">
      <selection activeCell="A35" sqref="A35"/>
    </sheetView>
  </sheetViews>
  <sheetFormatPr defaultRowHeight="15"/>
  <cols>
    <col min="1" max="1" width="9.140625" style="1"/>
    <col min="2" max="2" width="11.42578125" style="1" customWidth="1"/>
    <col min="3" max="11" width="9.140625" style="1"/>
    <col min="12" max="12" width="9.140625" style="1" customWidth="1"/>
    <col min="13" max="13" width="2.28515625" style="1" customWidth="1"/>
    <col min="14" max="16384" width="9.140625" style="1"/>
  </cols>
  <sheetData>
    <row r="1" spans="1:14" ht="26.25">
      <c r="A1" s="615" t="s">
        <v>418</v>
      </c>
      <c r="B1" s="596"/>
      <c r="C1" s="596"/>
      <c r="D1" s="596"/>
      <c r="E1" s="596"/>
      <c r="F1" s="596"/>
      <c r="G1" s="596"/>
      <c r="H1" s="596"/>
      <c r="I1" s="596"/>
      <c r="J1" s="596"/>
      <c r="K1" s="596"/>
      <c r="L1" s="596"/>
      <c r="M1" s="597"/>
    </row>
    <row r="2" spans="1:14" ht="11.25" customHeight="1">
      <c r="A2" s="596"/>
      <c r="B2" s="596"/>
      <c r="C2" s="596"/>
      <c r="D2" s="596"/>
      <c r="E2" s="596"/>
      <c r="F2" s="596"/>
      <c r="G2" s="596"/>
      <c r="H2" s="596"/>
      <c r="I2" s="596"/>
      <c r="J2" s="596"/>
      <c r="K2" s="596"/>
      <c r="L2" s="596"/>
      <c r="M2" s="597"/>
    </row>
    <row r="3" spans="1:14" ht="28.5" customHeight="1">
      <c r="A3" s="659" t="s">
        <v>335</v>
      </c>
      <c r="B3" s="659"/>
      <c r="C3" s="659"/>
      <c r="D3" s="659"/>
      <c r="E3" s="659"/>
      <c r="F3" s="659"/>
      <c r="G3" s="659"/>
      <c r="H3" s="659"/>
      <c r="I3" s="659"/>
      <c r="J3" s="659"/>
      <c r="K3" s="659"/>
      <c r="L3" s="659"/>
      <c r="M3" s="597"/>
    </row>
    <row r="4" spans="1:14" ht="7.5" customHeight="1">
      <c r="A4" s="596"/>
      <c r="B4" s="596"/>
      <c r="C4" s="596"/>
      <c r="D4" s="596"/>
      <c r="E4" s="596"/>
      <c r="F4" s="596"/>
      <c r="G4" s="596"/>
      <c r="H4" s="596"/>
      <c r="I4" s="596"/>
      <c r="J4" s="596"/>
      <c r="K4" s="596"/>
      <c r="L4" s="596"/>
      <c r="M4" s="597"/>
    </row>
    <row r="5" spans="1:14" ht="93" customHeight="1">
      <c r="A5" s="659" t="s">
        <v>342</v>
      </c>
      <c r="B5" s="659"/>
      <c r="C5" s="659"/>
      <c r="D5" s="659"/>
      <c r="E5" s="659"/>
      <c r="F5" s="659"/>
      <c r="G5" s="659"/>
      <c r="H5" s="659"/>
      <c r="I5" s="659"/>
      <c r="J5" s="659"/>
      <c r="K5" s="659"/>
      <c r="L5" s="659"/>
      <c r="M5" s="597"/>
      <c r="N5" s="213"/>
    </row>
    <row r="6" spans="1:14" ht="7.5" customHeight="1">
      <c r="A6" s="596"/>
      <c r="B6" s="596"/>
      <c r="C6" s="596"/>
      <c r="D6" s="596"/>
      <c r="E6" s="596"/>
      <c r="F6" s="596"/>
      <c r="G6" s="596"/>
      <c r="H6" s="596"/>
      <c r="I6" s="596"/>
      <c r="J6" s="596"/>
      <c r="K6" s="596"/>
      <c r="L6" s="596"/>
      <c r="M6" s="597"/>
      <c r="N6" s="213"/>
    </row>
    <row r="7" spans="1:14" ht="55.5" customHeight="1">
      <c r="A7" s="659" t="s">
        <v>332</v>
      </c>
      <c r="B7" s="659"/>
      <c r="C7" s="659"/>
      <c r="D7" s="659"/>
      <c r="E7" s="659"/>
      <c r="F7" s="659"/>
      <c r="G7" s="659"/>
      <c r="H7" s="659"/>
      <c r="I7" s="659"/>
      <c r="J7" s="659"/>
      <c r="K7" s="659"/>
      <c r="L7" s="659"/>
      <c r="M7" s="597"/>
      <c r="N7" s="213"/>
    </row>
    <row r="8" spans="1:14" ht="7.5" customHeight="1">
      <c r="A8" s="596"/>
      <c r="B8" s="596"/>
      <c r="C8" s="596"/>
      <c r="D8" s="596"/>
      <c r="E8" s="596"/>
      <c r="F8" s="596"/>
      <c r="G8" s="596"/>
      <c r="H8" s="596"/>
      <c r="I8" s="596"/>
      <c r="J8" s="596"/>
      <c r="K8" s="596"/>
      <c r="L8" s="596"/>
      <c r="M8" s="597"/>
    </row>
    <row r="9" spans="1:14" ht="29.25" customHeight="1">
      <c r="A9" s="659" t="s">
        <v>333</v>
      </c>
      <c r="B9" s="659"/>
      <c r="C9" s="659"/>
      <c r="D9" s="659"/>
      <c r="E9" s="659"/>
      <c r="F9" s="659"/>
      <c r="G9" s="659"/>
      <c r="H9" s="659"/>
      <c r="I9" s="659"/>
      <c r="J9" s="659"/>
      <c r="K9" s="659"/>
      <c r="L9" s="659"/>
      <c r="M9" s="597"/>
    </row>
    <row r="10" spans="1:14" ht="7.5" customHeight="1">
      <c r="A10" s="597"/>
      <c r="B10" s="596"/>
      <c r="C10" s="596"/>
      <c r="D10" s="596"/>
      <c r="E10" s="596"/>
      <c r="F10" s="596"/>
      <c r="G10" s="596"/>
      <c r="H10" s="596"/>
      <c r="I10" s="596"/>
      <c r="J10" s="596"/>
      <c r="K10" s="596"/>
      <c r="L10" s="596"/>
      <c r="M10" s="597"/>
    </row>
    <row r="11" spans="1:14" ht="29.25" customHeight="1">
      <c r="A11" s="659" t="s">
        <v>334</v>
      </c>
      <c r="B11" s="659"/>
      <c r="C11" s="659"/>
      <c r="D11" s="659"/>
      <c r="E11" s="659"/>
      <c r="F11" s="659"/>
      <c r="G11" s="659"/>
      <c r="H11" s="659"/>
      <c r="I11" s="659"/>
      <c r="J11" s="659"/>
      <c r="K11" s="659"/>
      <c r="L11" s="659"/>
      <c r="M11" s="597"/>
    </row>
    <row r="12" spans="1:14" ht="7.5" customHeight="1">
      <c r="A12" s="598"/>
      <c r="B12" s="598"/>
      <c r="C12" s="598"/>
      <c r="D12" s="598"/>
      <c r="E12" s="598"/>
      <c r="F12" s="598"/>
      <c r="G12" s="598"/>
      <c r="H12" s="598"/>
      <c r="I12" s="598"/>
      <c r="J12" s="598"/>
      <c r="K12" s="598"/>
      <c r="L12" s="598"/>
      <c r="M12" s="597"/>
    </row>
    <row r="13" spans="1:14">
      <c r="A13" s="599" t="s">
        <v>297</v>
      </c>
      <c r="B13" s="596"/>
      <c r="C13" s="596"/>
      <c r="D13" s="596"/>
      <c r="E13" s="596"/>
      <c r="F13" s="596"/>
      <c r="G13" s="596"/>
      <c r="H13" s="596"/>
      <c r="I13" s="596"/>
      <c r="J13" s="596"/>
      <c r="K13" s="596"/>
      <c r="L13" s="596"/>
      <c r="M13" s="597"/>
    </row>
    <row r="14" spans="1:14" ht="16.5" customHeight="1">
      <c r="A14" s="607" t="s">
        <v>431</v>
      </c>
      <c r="B14" s="608"/>
      <c r="C14" s="660" t="s">
        <v>298</v>
      </c>
      <c r="D14" s="660"/>
      <c r="E14" s="660"/>
      <c r="F14" s="660"/>
      <c r="G14" s="660"/>
      <c r="H14" s="660"/>
      <c r="I14" s="660"/>
      <c r="J14" s="660"/>
      <c r="K14" s="660"/>
      <c r="L14" s="660"/>
      <c r="M14" s="600"/>
    </row>
    <row r="15" spans="1:14" ht="45" customHeight="1">
      <c r="A15" s="607" t="s">
        <v>1</v>
      </c>
      <c r="B15" s="608"/>
      <c r="C15" s="660" t="s">
        <v>299</v>
      </c>
      <c r="D15" s="660"/>
      <c r="E15" s="660"/>
      <c r="F15" s="660"/>
      <c r="G15" s="660"/>
      <c r="H15" s="660"/>
      <c r="I15" s="660"/>
      <c r="J15" s="660"/>
      <c r="K15" s="660"/>
      <c r="L15" s="660"/>
      <c r="M15" s="600"/>
    </row>
    <row r="16" spans="1:14" ht="16.5" customHeight="1">
      <c r="A16" s="607" t="s">
        <v>290</v>
      </c>
      <c r="B16" s="608"/>
      <c r="C16" s="660" t="s">
        <v>300</v>
      </c>
      <c r="D16" s="660"/>
      <c r="E16" s="660"/>
      <c r="F16" s="660"/>
      <c r="G16" s="660"/>
      <c r="H16" s="660"/>
      <c r="I16" s="660"/>
      <c r="J16" s="660"/>
      <c r="K16" s="660"/>
      <c r="L16" s="660"/>
      <c r="M16" s="600"/>
    </row>
    <row r="17" spans="1:13" ht="16.5" customHeight="1">
      <c r="A17" s="607" t="s">
        <v>292</v>
      </c>
      <c r="B17" s="608"/>
      <c r="C17" s="660" t="s">
        <v>301</v>
      </c>
      <c r="D17" s="660"/>
      <c r="E17" s="660"/>
      <c r="F17" s="660"/>
      <c r="G17" s="660"/>
      <c r="H17" s="660"/>
      <c r="I17" s="660"/>
      <c r="J17" s="660"/>
      <c r="K17" s="660"/>
      <c r="L17" s="660"/>
      <c r="M17" s="600"/>
    </row>
    <row r="18" spans="1:13" ht="30" customHeight="1">
      <c r="A18" s="607" t="s">
        <v>124</v>
      </c>
      <c r="B18" s="608"/>
      <c r="C18" s="660" t="s">
        <v>304</v>
      </c>
      <c r="D18" s="660"/>
      <c r="E18" s="660"/>
      <c r="F18" s="660"/>
      <c r="G18" s="660"/>
      <c r="H18" s="660"/>
      <c r="I18" s="660"/>
      <c r="J18" s="660"/>
      <c r="K18" s="660"/>
      <c r="L18" s="660"/>
      <c r="M18" s="600"/>
    </row>
    <row r="19" spans="1:13" ht="45" customHeight="1">
      <c r="A19" s="611" t="s">
        <v>389</v>
      </c>
      <c r="B19" s="612"/>
      <c r="C19" s="660" t="s">
        <v>302</v>
      </c>
      <c r="D19" s="660"/>
      <c r="E19" s="660"/>
      <c r="F19" s="660"/>
      <c r="G19" s="660"/>
      <c r="H19" s="660"/>
      <c r="I19" s="660"/>
      <c r="J19" s="660"/>
      <c r="K19" s="660"/>
      <c r="L19" s="660"/>
      <c r="M19" s="600"/>
    </row>
    <row r="20" spans="1:13" ht="30" customHeight="1">
      <c r="A20" s="611" t="s">
        <v>291</v>
      </c>
      <c r="B20" s="612"/>
      <c r="C20" s="660" t="s">
        <v>305</v>
      </c>
      <c r="D20" s="660"/>
      <c r="E20" s="660"/>
      <c r="F20" s="660"/>
      <c r="G20" s="660"/>
      <c r="H20" s="660"/>
      <c r="I20" s="660"/>
      <c r="J20" s="660"/>
      <c r="K20" s="660"/>
      <c r="L20" s="660"/>
      <c r="M20" s="601"/>
    </row>
    <row r="21" spans="1:13" ht="16.5" customHeight="1">
      <c r="A21" s="613" t="s">
        <v>293</v>
      </c>
      <c r="B21" s="614"/>
      <c r="C21" s="660" t="s">
        <v>303</v>
      </c>
      <c r="D21" s="660"/>
      <c r="E21" s="660"/>
      <c r="F21" s="660"/>
      <c r="G21" s="660"/>
      <c r="H21" s="660"/>
      <c r="I21" s="660"/>
      <c r="J21" s="660"/>
      <c r="K21" s="660"/>
      <c r="L21" s="660"/>
      <c r="M21" s="600"/>
    </row>
    <row r="22" spans="1:13" ht="16.5" customHeight="1">
      <c r="A22" s="625" t="s">
        <v>343</v>
      </c>
      <c r="B22" s="626"/>
      <c r="C22" s="660" t="s">
        <v>405</v>
      </c>
      <c r="D22" s="660"/>
      <c r="E22" s="660"/>
      <c r="F22" s="660"/>
      <c r="G22" s="660"/>
      <c r="H22" s="660"/>
      <c r="I22" s="660"/>
      <c r="J22" s="660"/>
      <c r="K22" s="660"/>
      <c r="L22" s="660"/>
      <c r="M22" s="600"/>
    </row>
    <row r="23" spans="1:13" ht="30" customHeight="1">
      <c r="A23" s="625" t="s">
        <v>294</v>
      </c>
      <c r="B23" s="626"/>
      <c r="C23" s="660" t="s">
        <v>306</v>
      </c>
      <c r="D23" s="660"/>
      <c r="E23" s="660"/>
      <c r="F23" s="660"/>
      <c r="G23" s="660"/>
      <c r="H23" s="660"/>
      <c r="I23" s="660"/>
      <c r="J23" s="660"/>
      <c r="K23" s="660"/>
      <c r="L23" s="660"/>
      <c r="M23" s="600"/>
    </row>
    <row r="24" spans="1:13" ht="30" customHeight="1">
      <c r="A24" s="625" t="s">
        <v>295</v>
      </c>
      <c r="B24" s="626"/>
      <c r="C24" s="660" t="s">
        <v>396</v>
      </c>
      <c r="D24" s="660"/>
      <c r="E24" s="660"/>
      <c r="F24" s="660"/>
      <c r="G24" s="660"/>
      <c r="H24" s="660"/>
      <c r="I24" s="660"/>
      <c r="J24" s="660"/>
      <c r="K24" s="660"/>
      <c r="L24" s="660"/>
      <c r="M24" s="600"/>
    </row>
    <row r="25" spans="1:13" ht="16.5" customHeight="1">
      <c r="A25" s="609" t="s">
        <v>340</v>
      </c>
      <c r="B25" s="610"/>
      <c r="C25" s="660" t="s">
        <v>341</v>
      </c>
      <c r="D25" s="660"/>
      <c r="E25" s="660"/>
      <c r="F25" s="660"/>
      <c r="G25" s="660"/>
      <c r="H25" s="660"/>
      <c r="I25" s="660"/>
      <c r="J25" s="660"/>
      <c r="K25" s="660"/>
      <c r="L25" s="660"/>
      <c r="M25" s="600"/>
    </row>
    <row r="26" spans="1:13">
      <c r="A26" s="596"/>
      <c r="B26" s="602"/>
      <c r="C26" s="603"/>
      <c r="D26" s="603"/>
      <c r="E26" s="603"/>
      <c r="F26" s="596"/>
      <c r="G26" s="596"/>
      <c r="H26" s="596"/>
      <c r="I26" s="596"/>
      <c r="J26" s="596"/>
      <c r="K26" s="596"/>
      <c r="L26" s="596"/>
      <c r="M26" s="597"/>
    </row>
    <row r="27" spans="1:13" ht="30" customHeight="1">
      <c r="A27" s="659" t="s">
        <v>296</v>
      </c>
      <c r="B27" s="659"/>
      <c r="C27" s="659"/>
      <c r="D27" s="659"/>
      <c r="E27" s="659"/>
      <c r="F27" s="659"/>
      <c r="G27" s="659"/>
      <c r="H27" s="659"/>
      <c r="I27" s="659"/>
      <c r="J27" s="659"/>
      <c r="K27" s="659"/>
      <c r="L27" s="659"/>
      <c r="M27" s="597"/>
    </row>
    <row r="28" spans="1:13">
      <c r="A28" s="596"/>
      <c r="B28" s="596"/>
      <c r="C28" s="596"/>
      <c r="D28" s="596"/>
      <c r="E28" s="596"/>
      <c r="F28" s="596"/>
      <c r="G28" s="596"/>
      <c r="H28" s="596"/>
      <c r="I28" s="596"/>
      <c r="J28" s="596"/>
      <c r="K28" s="596"/>
      <c r="L28" s="596"/>
      <c r="M28" s="597"/>
    </row>
    <row r="29" spans="1:13">
      <c r="A29" s="604" t="s">
        <v>390</v>
      </c>
      <c r="B29" s="597"/>
      <c r="C29" s="597"/>
      <c r="D29" s="597"/>
      <c r="E29" s="597"/>
      <c r="F29" s="597"/>
      <c r="G29" s="597"/>
      <c r="H29" s="597"/>
      <c r="I29" s="597"/>
      <c r="J29" s="597"/>
      <c r="K29" s="597"/>
      <c r="L29" s="597"/>
      <c r="M29" s="597"/>
    </row>
    <row r="30" spans="1:13">
      <c r="A30" s="596"/>
      <c r="B30" s="597"/>
      <c r="C30" s="597"/>
      <c r="D30" s="597"/>
      <c r="E30" s="597"/>
      <c r="F30" s="597"/>
      <c r="G30" s="597"/>
      <c r="H30" s="597"/>
      <c r="I30" s="597"/>
      <c r="J30" s="597"/>
      <c r="K30" s="597"/>
      <c r="L30" s="597"/>
      <c r="M30" s="597"/>
    </row>
    <row r="31" spans="1:13">
      <c r="A31" s="605" t="s">
        <v>388</v>
      </c>
      <c r="B31" s="597"/>
      <c r="C31" s="597"/>
      <c r="D31" s="597"/>
      <c r="E31" s="597"/>
      <c r="F31" s="597"/>
      <c r="G31" s="597"/>
      <c r="H31" s="597"/>
      <c r="I31" s="597"/>
      <c r="J31" s="597"/>
      <c r="K31" s="597"/>
      <c r="L31" s="597"/>
      <c r="M31" s="597"/>
    </row>
    <row r="32" spans="1:13">
      <c r="A32" s="597"/>
      <c r="B32" s="597"/>
      <c r="C32" s="597"/>
      <c r="D32" s="597"/>
      <c r="E32" s="597"/>
      <c r="F32" s="597"/>
      <c r="G32" s="597"/>
      <c r="H32" s="597"/>
      <c r="I32" s="597"/>
      <c r="J32" s="597"/>
      <c r="K32" s="597"/>
      <c r="L32" s="597"/>
      <c r="M32" s="597"/>
    </row>
    <row r="33" spans="1:13">
      <c r="A33" s="606" t="s">
        <v>440</v>
      </c>
      <c r="B33" s="597"/>
      <c r="C33" s="597"/>
      <c r="D33" s="597"/>
      <c r="E33" s="597"/>
      <c r="F33" s="597"/>
      <c r="G33" s="597"/>
      <c r="H33" s="597"/>
      <c r="I33" s="597"/>
      <c r="J33" s="597"/>
      <c r="K33" s="597"/>
      <c r="L33" s="597"/>
      <c r="M33" s="597"/>
    </row>
    <row r="34" spans="1:13">
      <c r="A34" s="597"/>
      <c r="B34" s="597"/>
      <c r="C34" s="597"/>
      <c r="D34" s="597"/>
      <c r="E34" s="597"/>
      <c r="F34" s="597"/>
      <c r="G34" s="597"/>
      <c r="H34" s="597"/>
      <c r="I34" s="597"/>
      <c r="J34" s="597"/>
      <c r="K34" s="597"/>
      <c r="L34" s="597"/>
      <c r="M34" s="597"/>
    </row>
  </sheetData>
  <sheetProtection algorithmName="SHA-512" hashValue="H4dYAEGqQvoBvqEaCK2ICrHKrQ/yRxktFvZgaJUBED8sRCWbfZeG8HRkiL+m9vpDINqBVLjlnQah7edRfj8NLQ==" saltValue="NxUuoRv6yDevX6VgCMmk8g==" spinCount="100000" sheet="1" objects="1" scenarios="1" selectLockedCells="1" selectUnlockedCells="1"/>
  <mergeCells count="18">
    <mergeCell ref="A27:L27"/>
    <mergeCell ref="C15:L15"/>
    <mergeCell ref="C18:L18"/>
    <mergeCell ref="C16:L16"/>
    <mergeCell ref="C17:L17"/>
    <mergeCell ref="C25:L25"/>
    <mergeCell ref="C19:L19"/>
    <mergeCell ref="C20:L20"/>
    <mergeCell ref="C21:L21"/>
    <mergeCell ref="C23:L23"/>
    <mergeCell ref="C24:L24"/>
    <mergeCell ref="C22:L22"/>
    <mergeCell ref="A3:L3"/>
    <mergeCell ref="A5:L5"/>
    <mergeCell ref="A7:L7"/>
    <mergeCell ref="A9:L9"/>
    <mergeCell ref="C14:L14"/>
    <mergeCell ref="A11:L11"/>
  </mergeCells>
  <pageMargins left="0.7" right="0.7" top="0.75" bottom="0.75" header="0.3" footer="0.3"/>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BEC28-98EE-45E8-A760-C8162362362B}">
  <sheetPr>
    <tabColor rgb="FFFFFF00"/>
  </sheetPr>
  <dimension ref="A1:J37"/>
  <sheetViews>
    <sheetView zoomScaleNormal="100" zoomScaleSheetLayoutView="100" workbookViewId="0">
      <selection activeCell="A38" sqref="A38"/>
    </sheetView>
  </sheetViews>
  <sheetFormatPr defaultColWidth="9.140625" defaultRowHeight="15"/>
  <cols>
    <col min="1" max="2" width="9.140625" style="127"/>
    <col min="3" max="3" width="10.7109375" style="127" customWidth="1"/>
    <col min="4" max="4" width="4.28515625" style="127" customWidth="1"/>
    <col min="5" max="5" width="35.42578125" style="127" customWidth="1"/>
    <col min="6" max="6" width="9.140625" style="127"/>
    <col min="7" max="7" width="67.28515625" style="127" customWidth="1"/>
    <col min="8" max="12" width="9.140625" style="127"/>
    <col min="13" max="13" width="1.28515625" style="127" customWidth="1"/>
    <col min="14" max="14" width="66.28515625" style="127" customWidth="1"/>
    <col min="15" max="15" width="0.7109375" style="127" customWidth="1"/>
    <col min="16" max="16384" width="9.140625" style="127"/>
  </cols>
  <sheetData>
    <row r="1" spans="1:10" ht="24">
      <c r="A1" s="576" t="s">
        <v>370</v>
      </c>
      <c r="B1" s="2"/>
      <c r="C1" s="2"/>
      <c r="D1" s="2"/>
      <c r="E1" s="2"/>
      <c r="F1" s="2"/>
      <c r="G1" s="2"/>
      <c r="H1" s="2"/>
      <c r="I1" s="2"/>
      <c r="J1" s="2"/>
    </row>
    <row r="2" spans="1:10" ht="6.75" customHeight="1">
      <c r="A2" s="62"/>
      <c r="B2" s="2"/>
      <c r="C2" s="2"/>
      <c r="D2" s="2"/>
      <c r="E2" s="2"/>
      <c r="F2" s="2"/>
      <c r="G2" s="2"/>
      <c r="H2" s="2"/>
      <c r="I2" s="2"/>
      <c r="J2" s="2"/>
    </row>
    <row r="3" spans="1:10" ht="20.100000000000001" customHeight="1">
      <c r="A3" s="62"/>
      <c r="B3" s="2"/>
      <c r="C3" s="2"/>
      <c r="D3" s="577" t="s">
        <v>400</v>
      </c>
      <c r="E3" s="537"/>
      <c r="F3" s="2"/>
      <c r="G3" s="2"/>
      <c r="H3" s="2"/>
      <c r="I3" s="2"/>
      <c r="J3" s="2"/>
    </row>
    <row r="4" spans="1:10" ht="20.100000000000001" customHeight="1">
      <c r="A4" s="62"/>
      <c r="B4" s="2"/>
      <c r="C4" s="2"/>
      <c r="D4" s="577" t="s">
        <v>401</v>
      </c>
      <c r="E4" s="2"/>
      <c r="F4" s="2"/>
      <c r="G4" s="2"/>
      <c r="H4" s="2"/>
      <c r="I4" s="2"/>
      <c r="J4" s="2"/>
    </row>
    <row r="5" spans="1:10" ht="21">
      <c r="A5" s="62"/>
      <c r="B5" s="2"/>
      <c r="C5" s="2"/>
      <c r="D5" s="2"/>
      <c r="E5" s="2"/>
      <c r="F5" s="2"/>
      <c r="G5" s="2"/>
      <c r="H5" s="2"/>
      <c r="I5" s="2"/>
      <c r="J5" s="2"/>
    </row>
    <row r="6" spans="1:10" ht="21">
      <c r="A6" s="62"/>
      <c r="B6" s="2"/>
      <c r="C6" s="2"/>
      <c r="D6" s="2"/>
      <c r="E6" s="2"/>
      <c r="F6" s="2"/>
      <c r="G6" s="2"/>
      <c r="H6" s="2"/>
      <c r="I6" s="2"/>
      <c r="J6" s="2"/>
    </row>
    <row r="7" spans="1:10" ht="21">
      <c r="A7" s="62"/>
      <c r="B7" s="2"/>
      <c r="C7" s="2"/>
      <c r="D7" s="2"/>
      <c r="E7" s="2"/>
      <c r="F7" s="2"/>
      <c r="G7" s="2"/>
      <c r="H7" s="2"/>
      <c r="I7" s="2"/>
      <c r="J7" s="2"/>
    </row>
    <row r="8" spans="1:10" ht="21">
      <c r="A8" s="62"/>
      <c r="B8" s="2"/>
      <c r="C8" s="2"/>
      <c r="D8" s="2"/>
      <c r="E8" s="2"/>
      <c r="F8" s="2"/>
      <c r="G8" s="2"/>
      <c r="H8" s="2"/>
      <c r="I8" s="2"/>
      <c r="J8" s="2"/>
    </row>
    <row r="9" spans="1:10" ht="21">
      <c r="A9" s="62"/>
      <c r="B9" s="2"/>
      <c r="C9" s="2"/>
      <c r="D9" s="2"/>
      <c r="E9" s="2"/>
      <c r="F9" s="2"/>
      <c r="G9" s="2"/>
      <c r="H9" s="2"/>
      <c r="I9" s="2"/>
      <c r="J9" s="2"/>
    </row>
    <row r="10" spans="1:10" ht="21">
      <c r="A10" s="62"/>
      <c r="B10" s="2"/>
      <c r="C10" s="2"/>
      <c r="D10" s="2"/>
      <c r="E10" s="2"/>
      <c r="F10" s="2"/>
      <c r="G10" s="2"/>
      <c r="H10" s="2"/>
      <c r="I10" s="2"/>
      <c r="J10" s="2"/>
    </row>
    <row r="11" spans="1:10" ht="21">
      <c r="A11" s="62"/>
      <c r="B11" s="2"/>
      <c r="C11" s="2"/>
      <c r="D11" s="2"/>
      <c r="E11" s="2"/>
      <c r="F11" s="2"/>
      <c r="G11" s="2"/>
      <c r="H11" s="2"/>
      <c r="I11" s="2"/>
      <c r="J11" s="2"/>
    </row>
    <row r="12" spans="1:10" ht="21">
      <c r="A12" s="62"/>
      <c r="B12" s="2"/>
      <c r="C12" s="2"/>
      <c r="D12" s="2"/>
      <c r="E12" s="2"/>
      <c r="F12" s="2"/>
      <c r="G12" s="2"/>
      <c r="H12" s="2"/>
      <c r="I12" s="2"/>
      <c r="J12" s="2"/>
    </row>
    <row r="13" spans="1:10" ht="21">
      <c r="A13" s="62"/>
      <c r="B13" s="2"/>
      <c r="C13" s="2"/>
      <c r="D13" s="2"/>
      <c r="E13" s="2"/>
      <c r="F13" s="578" t="s">
        <v>357</v>
      </c>
      <c r="G13" s="2"/>
      <c r="H13" s="2"/>
      <c r="I13" s="2"/>
      <c r="J13" s="2"/>
    </row>
    <row r="14" spans="1:10" ht="21">
      <c r="A14" s="62"/>
      <c r="B14" s="2"/>
      <c r="C14" s="2"/>
      <c r="D14" s="2"/>
      <c r="E14" s="2"/>
      <c r="F14" s="578" t="s">
        <v>378</v>
      </c>
      <c r="G14" s="2"/>
      <c r="H14" s="2"/>
      <c r="I14" s="2"/>
      <c r="J14" s="2"/>
    </row>
    <row r="15" spans="1:10" ht="6" customHeight="1">
      <c r="A15" s="62"/>
      <c r="B15" s="2"/>
      <c r="C15" s="2"/>
      <c r="D15" s="2"/>
      <c r="E15" s="2"/>
      <c r="F15" s="2"/>
      <c r="G15" s="2"/>
      <c r="H15" s="2"/>
      <c r="I15" s="578"/>
      <c r="J15" s="2"/>
    </row>
    <row r="16" spans="1:10" ht="20.100000000000001" customHeight="1">
      <c r="A16" s="62"/>
      <c r="B16" s="2"/>
      <c r="C16" s="2"/>
      <c r="D16" s="578" t="s">
        <v>403</v>
      </c>
      <c r="E16" s="2"/>
      <c r="F16" s="2"/>
      <c r="G16" s="2"/>
      <c r="H16" s="2"/>
      <c r="I16" s="2"/>
      <c r="J16" s="2"/>
    </row>
    <row r="17" spans="1:10" ht="20.100000000000001" customHeight="1">
      <c r="A17" s="62"/>
      <c r="B17" s="2"/>
      <c r="C17" s="2"/>
      <c r="D17" s="578" t="s">
        <v>369</v>
      </c>
      <c r="E17" s="2"/>
      <c r="F17" s="2"/>
      <c r="G17" s="2"/>
      <c r="H17" s="2"/>
      <c r="I17" s="2"/>
      <c r="J17" s="2"/>
    </row>
    <row r="18" spans="1:10" ht="20.100000000000001" customHeight="1">
      <c r="A18" s="62"/>
      <c r="B18" s="2"/>
      <c r="C18" s="2"/>
      <c r="D18" s="577" t="s">
        <v>368</v>
      </c>
      <c r="E18" s="537"/>
      <c r="F18" s="2"/>
      <c r="G18" s="2"/>
      <c r="H18" s="2"/>
      <c r="I18" s="2"/>
      <c r="J18" s="2"/>
    </row>
    <row r="19" spans="1:10" ht="8.1" customHeight="1">
      <c r="A19" s="62"/>
      <c r="B19" s="2"/>
      <c r="C19" s="2"/>
      <c r="D19" s="578"/>
      <c r="E19" s="2"/>
      <c r="F19" s="2"/>
      <c r="G19" s="2"/>
      <c r="H19" s="2"/>
      <c r="I19" s="2"/>
      <c r="J19" s="2"/>
    </row>
    <row r="20" spans="1:10" ht="21">
      <c r="A20" s="62"/>
      <c r="B20" s="2"/>
      <c r="C20" s="2"/>
      <c r="D20" s="578" t="s">
        <v>358</v>
      </c>
      <c r="E20" s="2"/>
      <c r="F20" s="2"/>
      <c r="G20" s="2"/>
      <c r="H20" s="2"/>
      <c r="I20" s="2"/>
      <c r="J20" s="2"/>
    </row>
    <row r="21" spans="1:10" ht="20.100000000000001" customHeight="1">
      <c r="A21" s="62"/>
      <c r="B21" s="2"/>
      <c r="C21" s="2"/>
      <c r="D21" s="578" t="s">
        <v>355</v>
      </c>
      <c r="E21" s="2"/>
      <c r="F21" s="2"/>
      <c r="G21" s="2"/>
      <c r="H21" s="2"/>
      <c r="I21" s="2"/>
      <c r="J21" s="2"/>
    </row>
    <row r="22" spans="1:10" ht="20.100000000000001" customHeight="1">
      <c r="A22" s="62"/>
      <c r="B22" s="2"/>
      <c r="C22" s="2"/>
      <c r="D22" s="2"/>
      <c r="E22" s="577" t="s">
        <v>379</v>
      </c>
      <c r="F22" s="2"/>
      <c r="G22" s="2"/>
      <c r="H22" s="2"/>
      <c r="I22" s="2"/>
      <c r="J22" s="2"/>
    </row>
    <row r="23" spans="1:10" ht="20.100000000000001" customHeight="1">
      <c r="A23" s="62"/>
      <c r="B23" s="2"/>
      <c r="C23" s="2"/>
      <c r="D23" s="2"/>
      <c r="E23" s="577" t="s">
        <v>416</v>
      </c>
      <c r="F23" s="2"/>
      <c r="G23" s="2"/>
      <c r="H23" s="2"/>
      <c r="I23" s="2"/>
      <c r="J23" s="2"/>
    </row>
    <row r="24" spans="1:10" ht="20.100000000000001" customHeight="1">
      <c r="A24" s="62"/>
      <c r="B24" s="2"/>
      <c r="C24" s="2"/>
      <c r="D24" s="2"/>
      <c r="E24" s="577" t="s">
        <v>404</v>
      </c>
      <c r="F24" s="2"/>
      <c r="G24" s="2"/>
      <c r="H24" s="2"/>
      <c r="I24" s="2"/>
      <c r="J24" s="2"/>
    </row>
    <row r="25" spans="1:10" ht="21">
      <c r="A25" s="62"/>
      <c r="B25" s="2"/>
      <c r="C25" s="2"/>
      <c r="D25" s="2"/>
      <c r="E25" s="2"/>
      <c r="F25" s="2"/>
      <c r="G25" s="2"/>
      <c r="H25" s="2"/>
      <c r="I25" s="2"/>
      <c r="J25" s="2"/>
    </row>
    <row r="26" spans="1:10" ht="18" customHeight="1">
      <c r="A26" s="62"/>
      <c r="B26" s="2"/>
      <c r="C26" s="2"/>
      <c r="D26" s="2"/>
      <c r="E26" s="2"/>
      <c r="F26" s="2"/>
      <c r="G26" s="2"/>
      <c r="H26" s="2"/>
      <c r="I26" s="2"/>
      <c r="J26" s="2"/>
    </row>
    <row r="27" spans="1:10" ht="18" customHeight="1">
      <c r="A27" s="62"/>
      <c r="B27" s="2"/>
      <c r="C27" s="2"/>
      <c r="D27" s="2"/>
      <c r="E27" s="2"/>
      <c r="F27" s="2"/>
      <c r="G27" s="2"/>
      <c r="H27" s="2"/>
      <c r="I27" s="2"/>
      <c r="J27" s="2"/>
    </row>
    <row r="28" spans="1:10" ht="18" customHeight="1">
      <c r="A28" s="62"/>
      <c r="B28" s="2"/>
      <c r="C28" s="2"/>
      <c r="D28" s="2"/>
      <c r="E28" s="2"/>
      <c r="F28" s="2"/>
      <c r="G28" s="2"/>
      <c r="H28" s="2"/>
      <c r="I28" s="2"/>
      <c r="J28" s="2"/>
    </row>
    <row r="29" spans="1:10">
      <c r="A29" s="2"/>
      <c r="B29" s="2"/>
      <c r="C29" s="2"/>
      <c r="D29" s="2"/>
      <c r="E29" s="2"/>
      <c r="F29" s="2"/>
      <c r="G29" s="2"/>
      <c r="H29" s="2"/>
      <c r="I29" s="2"/>
      <c r="J29" s="2"/>
    </row>
    <row r="30" spans="1:10">
      <c r="A30" s="2"/>
      <c r="B30" s="2"/>
      <c r="C30" s="2"/>
      <c r="D30" s="2"/>
      <c r="E30" s="2"/>
      <c r="F30" s="2"/>
      <c r="G30" s="2"/>
      <c r="H30" s="2"/>
      <c r="I30" s="2"/>
      <c r="J30" s="2"/>
    </row>
    <row r="31" spans="1:10">
      <c r="A31" s="2"/>
      <c r="B31" s="2"/>
      <c r="C31" s="2"/>
      <c r="D31" s="2"/>
      <c r="E31" s="2"/>
      <c r="F31" s="2"/>
      <c r="G31" s="2"/>
      <c r="H31" s="2"/>
      <c r="I31" s="2"/>
      <c r="J31" s="2"/>
    </row>
    <row r="32" spans="1:10">
      <c r="A32" s="2"/>
      <c r="B32" s="2"/>
      <c r="C32" s="2"/>
      <c r="D32" s="2"/>
      <c r="E32" s="2"/>
      <c r="F32" s="2"/>
      <c r="G32" s="2"/>
      <c r="H32" s="2"/>
      <c r="I32" s="2"/>
      <c r="J32" s="2"/>
    </row>
    <row r="33" spans="1:10">
      <c r="A33" s="2"/>
      <c r="B33" s="2"/>
      <c r="C33" s="2"/>
      <c r="D33" s="2"/>
      <c r="E33" s="2"/>
      <c r="F33" s="2"/>
      <c r="G33" s="2"/>
      <c r="H33" s="2"/>
      <c r="I33" s="2"/>
      <c r="J33" s="2"/>
    </row>
    <row r="34" spans="1:10">
      <c r="A34" s="2"/>
      <c r="B34" s="2"/>
      <c r="C34" s="2"/>
      <c r="D34" s="2"/>
      <c r="E34" s="2"/>
      <c r="F34" s="2"/>
      <c r="G34" s="2"/>
      <c r="H34" s="2"/>
      <c r="I34" s="2"/>
      <c r="J34" s="2"/>
    </row>
    <row r="35" spans="1:10">
      <c r="A35" s="2"/>
      <c r="B35" s="2"/>
      <c r="C35" s="2"/>
      <c r="D35" s="2"/>
      <c r="E35" s="2"/>
      <c r="F35" s="2"/>
      <c r="G35" s="2"/>
      <c r="H35" s="2"/>
      <c r="I35" s="2"/>
      <c r="J35" s="2"/>
    </row>
    <row r="36" spans="1:10">
      <c r="A36" s="2"/>
      <c r="B36" s="2"/>
      <c r="C36" s="2"/>
      <c r="D36" s="2"/>
      <c r="E36" s="2"/>
      <c r="F36" s="2"/>
      <c r="G36" s="2"/>
      <c r="H36" s="2"/>
      <c r="I36" s="323"/>
      <c r="J36" s="323"/>
    </row>
    <row r="37" spans="1:10">
      <c r="A37" s="2"/>
      <c r="B37" s="2"/>
      <c r="C37" s="2"/>
      <c r="D37" s="2"/>
      <c r="E37" s="2"/>
      <c r="F37" s="2"/>
      <c r="G37" s="2"/>
      <c r="H37" s="2"/>
      <c r="I37" s="2"/>
      <c r="J37" s="323" t="str">
        <f>Intro!A33</f>
        <v>PFASen (Ver. 2.4) - 2025-10-09</v>
      </c>
    </row>
  </sheetData>
  <sheetProtection algorithmName="SHA-512" hashValue="fD1TG1Vl9bpul5zeBedI6/4Ql69Xunxy90edF83w0NHQWjmIHZEv+fTLTacYS7csb/Brq1FMQzynpXtKFY67hg==" saltValue="qDYPGktjH8+fEKolR4TZZw==" spinCount="100000" sheet="1" objects="1" scenarios="1" selectLockedCells="1" selectUnlockedCells="1"/>
  <pageMargins left="0.25" right="0.25" top="0.75" bottom="0.75" header="0.3" footer="0.3"/>
  <pageSetup paperSize="9" scale="73" orientation="landscape" verticalDpi="0" r:id="rId1"/>
  <colBreaks count="1" manualBreakCount="1">
    <brk id="13" max="46"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77DA9-32B6-4CE6-9463-C58EBBBA232B}">
  <sheetPr codeName="Ark14">
    <tabColor rgb="FFFFFF00"/>
  </sheetPr>
  <dimension ref="A1:AB42"/>
  <sheetViews>
    <sheetView zoomScale="90" zoomScaleNormal="90" workbookViewId="0">
      <selection activeCell="B44" sqref="B44"/>
    </sheetView>
  </sheetViews>
  <sheetFormatPr defaultRowHeight="15"/>
  <cols>
    <col min="1" max="16384" width="9.140625" style="127"/>
  </cols>
  <sheetData>
    <row r="1" spans="1:28">
      <c r="A1" s="134"/>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row>
    <row r="2" spans="1:28">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row>
    <row r="3" spans="1:28">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row>
    <row r="4" spans="1:28">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row>
    <row r="5" spans="1:28">
      <c r="A5" s="134"/>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row>
    <row r="6" spans="1:28">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row>
    <row r="7" spans="1:28">
      <c r="A7" s="134"/>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row>
    <row r="8" spans="1:28">
      <c r="A8" s="134"/>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row>
    <row r="9" spans="1:28">
      <c r="A9" s="134"/>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row>
    <row r="10" spans="1:28">
      <c r="A10" s="134"/>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row>
    <row r="11" spans="1:28">
      <c r="A11" s="134"/>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row>
    <row r="12" spans="1:28">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row>
    <row r="13" spans="1:28">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row>
    <row r="14" spans="1:28">
      <c r="A14" s="134"/>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row>
    <row r="15" spans="1:28">
      <c r="A15" s="134"/>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row>
    <row r="16" spans="1:28">
      <c r="A16" s="134"/>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row>
    <row r="17" spans="1:28">
      <c r="A17" s="134"/>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row>
    <row r="18" spans="1:28">
      <c r="A18" s="134"/>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row>
    <row r="19" spans="1:28">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row>
    <row r="20" spans="1:28">
      <c r="A20" s="134"/>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row>
    <row r="21" spans="1:28">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row>
    <row r="22" spans="1:28">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row>
    <row r="23" spans="1:28">
      <c r="A23" s="134"/>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row>
    <row r="24" spans="1:28">
      <c r="A24" s="134"/>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row>
    <row r="25" spans="1:28">
      <c r="A25" s="134"/>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row>
    <row r="26" spans="1:28">
      <c r="A26" s="13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row>
    <row r="27" spans="1:28">
      <c r="A27" s="134"/>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row>
    <row r="28" spans="1:28">
      <c r="A28" s="134"/>
      <c r="B28" s="13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row>
    <row r="29" spans="1:28">
      <c r="A29" s="134"/>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row>
    <row r="30" spans="1:28">
      <c r="A30" s="134"/>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row>
    <row r="31" spans="1:28">
      <c r="A31" s="134"/>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row>
    <row r="32" spans="1:28">
      <c r="A32" s="134"/>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row>
    <row r="33" spans="1:28">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row>
    <row r="34" spans="1:28">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row>
    <row r="35" spans="1:28">
      <c r="A35" s="134"/>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row>
    <row r="36" spans="1:28">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row>
    <row r="37" spans="1:28">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row>
    <row r="38" spans="1:28">
      <c r="A38" s="134"/>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row>
    <row r="39" spans="1:28">
      <c r="A39" s="134"/>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row>
    <row r="40" spans="1:28">
      <c r="A40" s="134"/>
      <c r="B40" s="134"/>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row>
    <row r="41" spans="1:28">
      <c r="A41" s="134"/>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row>
    <row r="42" spans="1:28">
      <c r="A42" s="134"/>
      <c r="B42" s="134"/>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567"/>
      <c r="AB42" s="567" t="str">
        <f>Intro!A33</f>
        <v>PFASen (Ver. 2.4) - 2025-10-09</v>
      </c>
    </row>
  </sheetData>
  <sheetProtection algorithmName="SHA-512" hashValue="hStjRe6PyRUMja/jh/loiIfGWYKXlVtdjbToqTOfG+iPImH3FPyi70KkDaxUxBZq6EJ6Xmym23usa1Kv5+MqqA==" saltValue="pUKm70hFdLd0X++TDlvjHg==" spinCount="100000" sheet="1" objects="1" scenarios="1" selectLockedCells="1" selectUnlockedCells="1"/>
  <pageMargins left="0.25" right="0.25" top="0.75" bottom="0.75" header="0.3" footer="0.3"/>
  <pageSetup paperSize="8" scale="78"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CB630-DD5E-4139-ADAE-EFD8518A7AC5}">
  <sheetPr codeName="Ark13">
    <tabColor rgb="FFFFFF00"/>
  </sheetPr>
  <dimension ref="A1:Y81"/>
  <sheetViews>
    <sheetView topLeftCell="A13" zoomScaleNormal="100" workbookViewId="0">
      <selection activeCell="K40" sqref="K40"/>
    </sheetView>
  </sheetViews>
  <sheetFormatPr defaultRowHeight="15"/>
  <cols>
    <col min="1" max="10" width="9.140625" style="98"/>
    <col min="11" max="11" width="10.140625" style="98" customWidth="1"/>
    <col min="12" max="14" width="9.140625" style="98"/>
    <col min="15" max="15" width="12" style="98" bestFit="1" customWidth="1"/>
    <col min="16" max="16384" width="9.140625" style="98"/>
  </cols>
  <sheetData>
    <row r="1" spans="1:25">
      <c r="A1" s="134" t="s">
        <v>393</v>
      </c>
      <c r="B1" s="134"/>
      <c r="C1" s="134"/>
      <c r="D1" s="134"/>
      <c r="E1" s="134"/>
      <c r="F1" s="134"/>
      <c r="G1" s="134"/>
      <c r="H1" s="134"/>
      <c r="I1" s="134"/>
      <c r="J1" s="134"/>
      <c r="K1" s="134"/>
      <c r="L1" s="134" t="s">
        <v>394</v>
      </c>
      <c r="M1" s="134"/>
      <c r="N1" s="134"/>
      <c r="O1" s="134"/>
      <c r="P1" s="134"/>
      <c r="Q1" s="134"/>
      <c r="R1" s="134"/>
      <c r="S1" s="134"/>
      <c r="T1" s="134"/>
      <c r="U1" s="134"/>
      <c r="V1" s="134"/>
      <c r="W1" s="134"/>
      <c r="X1" s="134"/>
      <c r="Y1" s="134"/>
    </row>
    <row r="2" spans="1:25">
      <c r="A2" s="134"/>
      <c r="B2" s="134"/>
      <c r="C2" s="134"/>
      <c r="D2" s="134"/>
      <c r="E2" s="134"/>
      <c r="F2" s="134"/>
      <c r="G2" s="134"/>
      <c r="H2" s="134"/>
      <c r="I2" s="134"/>
      <c r="J2" s="134"/>
      <c r="K2" s="134"/>
      <c r="L2" s="134"/>
      <c r="M2" s="134"/>
      <c r="N2" s="134"/>
      <c r="O2" s="134"/>
      <c r="P2" s="134"/>
      <c r="Q2" s="134"/>
      <c r="R2" s="134"/>
      <c r="S2" s="134"/>
      <c r="T2" s="134"/>
      <c r="U2" s="134"/>
      <c r="V2" s="134"/>
      <c r="W2" s="134"/>
      <c r="X2" s="134"/>
      <c r="Y2" s="134"/>
    </row>
    <row r="3" spans="1:25">
      <c r="A3" s="134"/>
      <c r="B3" s="134"/>
      <c r="C3" s="134"/>
      <c r="D3" s="134"/>
      <c r="E3" s="134"/>
      <c r="F3" s="134"/>
      <c r="G3" s="134"/>
      <c r="H3" s="134"/>
      <c r="I3" s="134"/>
      <c r="J3" s="134"/>
      <c r="K3" s="134"/>
      <c r="L3" s="134"/>
      <c r="M3" s="134"/>
      <c r="N3" s="134"/>
      <c r="O3" s="134"/>
      <c r="P3" s="134"/>
      <c r="Q3" s="134"/>
      <c r="R3" s="134"/>
      <c r="S3" s="134"/>
      <c r="T3" s="134"/>
      <c r="U3" s="134"/>
      <c r="V3" s="134"/>
      <c r="W3" s="134"/>
      <c r="X3" s="134"/>
      <c r="Y3" s="134"/>
    </row>
    <row r="4" spans="1:25">
      <c r="A4" s="134"/>
      <c r="B4" s="134"/>
      <c r="C4" s="134"/>
      <c r="D4" s="134"/>
      <c r="E4" s="134"/>
      <c r="F4" s="134"/>
      <c r="G4" s="134"/>
      <c r="H4" s="134"/>
      <c r="I4" s="134"/>
      <c r="J4" s="134"/>
      <c r="K4" s="134"/>
      <c r="L4" s="134"/>
      <c r="M4" s="134"/>
      <c r="N4" s="134"/>
      <c r="O4" s="134"/>
      <c r="P4" s="134"/>
      <c r="Q4" s="134"/>
      <c r="R4" s="134"/>
      <c r="S4" s="134"/>
      <c r="T4" s="134"/>
      <c r="U4" s="134"/>
      <c r="V4" s="134"/>
      <c r="W4" s="134"/>
      <c r="X4" s="134"/>
      <c r="Y4" s="134"/>
    </row>
    <row r="5" spans="1:25">
      <c r="A5" s="134"/>
      <c r="B5" s="134"/>
      <c r="C5" s="134"/>
      <c r="D5" s="134"/>
      <c r="E5" s="134"/>
      <c r="F5" s="134"/>
      <c r="G5" s="134"/>
      <c r="H5" s="134"/>
      <c r="I5" s="134"/>
      <c r="J5" s="134"/>
      <c r="K5" s="134"/>
      <c r="L5" s="134"/>
      <c r="M5" s="134"/>
      <c r="N5" s="134"/>
      <c r="O5" s="134"/>
      <c r="P5" s="134"/>
      <c r="Q5" s="134"/>
      <c r="R5" s="134"/>
      <c r="S5" s="134"/>
      <c r="T5" s="134"/>
      <c r="U5" s="134"/>
      <c r="V5" s="134"/>
      <c r="W5" s="134"/>
      <c r="X5" s="134"/>
      <c r="Y5" s="134"/>
    </row>
    <row r="6" spans="1:25">
      <c r="A6" s="134"/>
      <c r="B6" s="134"/>
      <c r="C6" s="134"/>
      <c r="D6" s="134"/>
      <c r="E6" s="134"/>
      <c r="F6" s="134"/>
      <c r="G6" s="134"/>
      <c r="H6" s="134"/>
      <c r="I6" s="134"/>
      <c r="J6" s="134"/>
      <c r="K6" s="134"/>
      <c r="L6" s="134"/>
      <c r="M6" s="134"/>
      <c r="N6" s="134"/>
      <c r="O6" s="134"/>
      <c r="P6" s="134"/>
      <c r="Q6" s="134"/>
      <c r="R6" s="134"/>
      <c r="S6" s="134"/>
      <c r="T6" s="134"/>
      <c r="U6" s="134"/>
      <c r="V6" s="134"/>
      <c r="W6" s="134"/>
      <c r="X6" s="134"/>
      <c r="Y6" s="134"/>
    </row>
    <row r="7" spans="1:25">
      <c r="A7" s="134"/>
      <c r="B7" s="134"/>
      <c r="C7" s="134"/>
      <c r="D7" s="134"/>
      <c r="E7" s="134"/>
      <c r="F7" s="134"/>
      <c r="G7" s="134"/>
      <c r="H7" s="134"/>
      <c r="I7" s="134"/>
      <c r="J7" s="134"/>
      <c r="K7" s="134"/>
      <c r="L7" s="134"/>
      <c r="M7" s="134"/>
      <c r="N7" s="134"/>
      <c r="O7" s="134"/>
      <c r="P7" s="134"/>
      <c r="Q7" s="134"/>
      <c r="R7" s="134"/>
      <c r="S7" s="134"/>
      <c r="T7" s="134"/>
      <c r="U7" s="134"/>
      <c r="V7" s="134"/>
      <c r="W7" s="134"/>
      <c r="X7" s="134"/>
      <c r="Y7" s="134"/>
    </row>
    <row r="8" spans="1:25">
      <c r="A8" s="134"/>
      <c r="B8" s="134"/>
      <c r="C8" s="134"/>
      <c r="D8" s="134"/>
      <c r="E8" s="134"/>
      <c r="F8" s="134"/>
      <c r="G8" s="134"/>
      <c r="H8" s="134"/>
      <c r="I8" s="134"/>
      <c r="J8" s="134"/>
      <c r="K8" s="134"/>
      <c r="L8" s="134"/>
      <c r="M8" s="134"/>
      <c r="N8" s="134"/>
      <c r="O8" s="134"/>
      <c r="P8" s="134"/>
      <c r="Q8" s="134"/>
      <c r="R8" s="134"/>
      <c r="S8" s="134"/>
      <c r="T8" s="134"/>
      <c r="U8" s="134"/>
      <c r="V8" s="134"/>
      <c r="W8" s="134"/>
      <c r="X8" s="134"/>
      <c r="Y8" s="134"/>
    </row>
    <row r="9" spans="1:25">
      <c r="A9" s="134"/>
      <c r="B9" s="134"/>
      <c r="C9" s="134"/>
      <c r="D9" s="134"/>
      <c r="E9" s="134"/>
      <c r="F9" s="134"/>
      <c r="G9" s="134"/>
      <c r="H9" s="134"/>
      <c r="I9" s="134"/>
      <c r="J9" s="134"/>
      <c r="K9" s="134"/>
      <c r="L9" s="134"/>
      <c r="M9" s="134"/>
      <c r="N9" s="134"/>
      <c r="O9" s="134"/>
      <c r="P9" s="134"/>
      <c r="Q9" s="134"/>
      <c r="R9" s="134"/>
      <c r="S9" s="134"/>
      <c r="T9" s="134"/>
      <c r="U9" s="134"/>
      <c r="V9" s="134"/>
      <c r="W9" s="134"/>
      <c r="X9" s="134"/>
      <c r="Y9" s="134"/>
    </row>
    <row r="10" spans="1:25">
      <c r="A10" s="134"/>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row>
    <row r="11" spans="1:25">
      <c r="A11" s="134"/>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row>
    <row r="12" spans="1:25">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row>
    <row r="13" spans="1:25">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row>
    <row r="14" spans="1:25">
      <c r="A14" s="134"/>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row>
    <row r="15" spans="1:25">
      <c r="A15" s="134"/>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row>
    <row r="16" spans="1:25">
      <c r="A16" s="134"/>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row>
    <row r="17" spans="1:25">
      <c r="A17" s="134"/>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row>
    <row r="18" spans="1:25">
      <c r="A18" s="134"/>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row>
    <row r="19" spans="1:25">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row>
    <row r="20" spans="1:25">
      <c r="A20" s="134"/>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row>
    <row r="21" spans="1:2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row>
    <row r="22" spans="1:25">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row>
    <row r="23" spans="1:25">
      <c r="A23" s="134"/>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row>
    <row r="24" spans="1:25">
      <c r="A24" s="134"/>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134"/>
    </row>
    <row r="25" spans="1:25">
      <c r="A25" s="134"/>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row>
    <row r="26" spans="1:25">
      <c r="A26" s="13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row>
    <row r="27" spans="1:25">
      <c r="A27" s="134"/>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row>
    <row r="28" spans="1:25">
      <c r="A28" s="134"/>
      <c r="B28" s="134"/>
      <c r="C28" s="134"/>
      <c r="D28" s="134"/>
      <c r="E28" s="134"/>
      <c r="F28" s="134"/>
      <c r="G28" s="134"/>
      <c r="H28" s="134"/>
      <c r="I28" s="134"/>
      <c r="J28" s="134"/>
      <c r="K28" s="134"/>
      <c r="L28" s="134"/>
      <c r="M28" s="134"/>
      <c r="N28" s="134"/>
      <c r="O28" s="134"/>
      <c r="P28" s="134"/>
      <c r="Q28" s="134"/>
      <c r="R28" s="134"/>
      <c r="S28" s="134"/>
      <c r="T28" s="134"/>
      <c r="U28" s="134"/>
      <c r="V28" s="134"/>
      <c r="W28" s="134"/>
      <c r="X28" s="134"/>
      <c r="Y28" s="134"/>
    </row>
    <row r="29" spans="1:25">
      <c r="A29" s="134"/>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row>
    <row r="30" spans="1:25">
      <c r="A30" s="134"/>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row>
    <row r="31" spans="1:25">
      <c r="A31" s="134"/>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row>
    <row r="32" spans="1:25">
      <c r="A32" s="134"/>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row>
    <row r="33" spans="1:25">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row>
    <row r="34" spans="1:25">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row>
    <row r="35" spans="1:25">
      <c r="A35" s="134"/>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row>
    <row r="36" spans="1:25">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row>
    <row r="37" spans="1:25">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row>
    <row r="38" spans="1:25">
      <c r="A38" s="134"/>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row>
    <row r="39" spans="1:25">
      <c r="A39" s="134"/>
      <c r="B39" s="134"/>
      <c r="C39" s="134"/>
      <c r="D39" s="134"/>
      <c r="E39" s="134"/>
      <c r="F39" s="134"/>
      <c r="G39" s="134"/>
      <c r="H39" s="134"/>
      <c r="I39" s="134"/>
      <c r="J39" s="134"/>
      <c r="K39" s="134"/>
      <c r="L39" s="134"/>
      <c r="M39" s="565"/>
      <c r="N39" s="565"/>
      <c r="O39" s="134"/>
      <c r="P39" s="134"/>
      <c r="Q39" s="134"/>
      <c r="R39" s="134"/>
      <c r="S39" s="134"/>
      <c r="T39" s="134"/>
      <c r="U39" s="134"/>
      <c r="V39" s="134"/>
      <c r="W39" s="134"/>
      <c r="X39" s="134"/>
      <c r="Y39" s="134"/>
    </row>
    <row r="40" spans="1:25">
      <c r="A40" s="134"/>
      <c r="B40" s="134"/>
      <c r="C40" s="134"/>
      <c r="D40" s="134"/>
      <c r="E40" s="134"/>
      <c r="F40" s="134"/>
      <c r="G40" s="134"/>
      <c r="H40" s="134"/>
      <c r="I40" s="134"/>
      <c r="J40" s="134"/>
      <c r="K40" s="134"/>
      <c r="L40" s="134"/>
      <c r="M40" s="134"/>
      <c r="N40" s="134"/>
      <c r="O40" s="566"/>
      <c r="P40" s="134"/>
      <c r="Q40" s="134"/>
      <c r="R40" s="134"/>
      <c r="S40" s="134"/>
      <c r="T40" s="134"/>
      <c r="U40" s="134"/>
      <c r="V40" s="134"/>
      <c r="W40" s="134"/>
      <c r="X40" s="134"/>
      <c r="Y40" s="134"/>
    </row>
    <row r="41" spans="1:25">
      <c r="A41" s="134"/>
      <c r="B41" s="134"/>
      <c r="C41" s="134"/>
      <c r="D41" s="134"/>
      <c r="E41" s="134"/>
      <c r="F41" s="134"/>
      <c r="G41" s="134"/>
      <c r="H41" s="134"/>
      <c r="I41" s="134"/>
      <c r="J41" s="134"/>
      <c r="K41" s="134"/>
      <c r="L41" s="134"/>
      <c r="M41" s="134"/>
      <c r="N41" s="134"/>
      <c r="O41" s="566"/>
      <c r="P41" s="134"/>
      <c r="Q41" s="134"/>
      <c r="R41" s="134"/>
      <c r="S41" s="134"/>
      <c r="T41" s="134"/>
      <c r="U41" s="134"/>
      <c r="V41" s="134"/>
      <c r="W41" s="134"/>
      <c r="X41" s="134"/>
      <c r="Y41" s="134"/>
    </row>
    <row r="42" spans="1:25">
      <c r="A42" s="134"/>
      <c r="B42" s="134"/>
      <c r="C42" s="134"/>
      <c r="D42" s="134"/>
      <c r="E42" s="134"/>
      <c r="F42" s="134"/>
      <c r="G42" s="134"/>
      <c r="H42" s="134"/>
      <c r="I42" s="134"/>
      <c r="J42" s="134"/>
      <c r="K42" s="134"/>
      <c r="L42" s="134"/>
      <c r="M42" s="134"/>
      <c r="N42" s="134"/>
      <c r="O42" s="566"/>
      <c r="P42" s="134"/>
      <c r="Q42" s="134"/>
      <c r="R42" s="134"/>
      <c r="S42" s="134"/>
      <c r="T42" s="134"/>
      <c r="U42" s="134"/>
      <c r="V42" s="134"/>
      <c r="W42" s="134"/>
      <c r="X42" s="134"/>
      <c r="Y42" s="134"/>
    </row>
    <row r="43" spans="1:25">
      <c r="A43" s="134"/>
      <c r="B43" s="134"/>
      <c r="C43" s="134"/>
      <c r="D43" s="134"/>
      <c r="E43" s="134"/>
      <c r="F43" s="134"/>
      <c r="G43" s="134"/>
      <c r="H43" s="134"/>
      <c r="I43" s="134"/>
      <c r="J43" s="134"/>
      <c r="K43" s="134"/>
      <c r="L43" s="134"/>
      <c r="M43" s="134"/>
      <c r="N43" s="134"/>
      <c r="O43" s="566"/>
      <c r="P43" s="134"/>
      <c r="Q43" s="134"/>
      <c r="R43" s="134"/>
      <c r="S43" s="134"/>
      <c r="T43" s="134"/>
      <c r="U43" s="134"/>
      <c r="V43" s="134"/>
      <c r="W43" s="134"/>
      <c r="X43" s="134"/>
      <c r="Y43" s="134"/>
    </row>
    <row r="44" spans="1:25">
      <c r="A44" s="134"/>
      <c r="B44" s="134"/>
      <c r="C44" s="134"/>
      <c r="D44" s="134"/>
      <c r="E44" s="134"/>
      <c r="F44" s="134"/>
      <c r="G44" s="134"/>
      <c r="H44" s="134"/>
      <c r="I44" s="134"/>
      <c r="J44" s="134"/>
      <c r="K44" s="134"/>
      <c r="L44" s="134"/>
      <c r="M44" s="134"/>
      <c r="N44" s="134"/>
      <c r="O44" s="566"/>
      <c r="P44" s="134"/>
      <c r="Q44" s="134"/>
      <c r="R44" s="134"/>
      <c r="S44" s="134"/>
      <c r="T44" s="134"/>
      <c r="U44" s="134"/>
      <c r="V44" s="134"/>
      <c r="W44" s="134"/>
      <c r="X44" s="134"/>
      <c r="Y44" s="134"/>
    </row>
    <row r="45" spans="1:25">
      <c r="A45" s="134"/>
      <c r="B45" s="134"/>
      <c r="C45" s="134"/>
      <c r="D45" s="134"/>
      <c r="E45" s="134"/>
      <c r="F45" s="134"/>
      <c r="G45" s="134"/>
      <c r="H45" s="134"/>
      <c r="I45" s="134"/>
      <c r="J45" s="134"/>
      <c r="K45" s="134"/>
      <c r="L45" s="134"/>
      <c r="M45" s="134"/>
      <c r="N45" s="134"/>
      <c r="O45" s="566"/>
      <c r="P45" s="134"/>
      <c r="Q45" s="134"/>
      <c r="R45" s="134"/>
      <c r="S45" s="134"/>
      <c r="T45" s="134"/>
      <c r="U45" s="134"/>
      <c r="V45" s="134"/>
      <c r="W45" s="134"/>
      <c r="X45" s="134"/>
      <c r="Y45" s="134"/>
    </row>
    <row r="46" spans="1:25">
      <c r="A46" s="134"/>
      <c r="B46" s="134"/>
      <c r="C46" s="134"/>
      <c r="D46" s="134"/>
      <c r="E46" s="134"/>
      <c r="F46" s="134"/>
      <c r="G46" s="134"/>
      <c r="H46" s="134"/>
      <c r="I46" s="134"/>
      <c r="J46" s="134"/>
      <c r="K46" s="134"/>
      <c r="L46" s="134"/>
      <c r="M46" s="134"/>
      <c r="N46" s="134"/>
      <c r="O46" s="134"/>
      <c r="P46" s="134"/>
      <c r="Q46" s="134"/>
      <c r="R46" s="134"/>
      <c r="S46" s="134"/>
      <c r="T46" s="134"/>
      <c r="U46" s="134"/>
      <c r="V46" s="134"/>
      <c r="W46" s="134"/>
      <c r="X46" s="134"/>
      <c r="Y46" s="134"/>
    </row>
    <row r="47" spans="1:25">
      <c r="A47" s="134"/>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134"/>
    </row>
    <row r="48" spans="1:25">
      <c r="A48" s="134"/>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134"/>
    </row>
    <row r="49" spans="1:25">
      <c r="A49" s="134"/>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row>
    <row r="50" spans="1:25">
      <c r="A50" s="134"/>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row>
    <row r="51" spans="1:25">
      <c r="A51" s="134"/>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row>
    <row r="52" spans="1:25">
      <c r="A52" s="134"/>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row>
    <row r="53" spans="1:25">
      <c r="A53" s="134"/>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row>
    <row r="54" spans="1:25">
      <c r="A54" s="134"/>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row>
    <row r="55" spans="1:25">
      <c r="A55" s="134"/>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row>
    <row r="56" spans="1:25">
      <c r="A56" s="134"/>
      <c r="B56" s="134"/>
      <c r="C56" s="134"/>
      <c r="D56" s="134"/>
      <c r="E56" s="134"/>
      <c r="F56" s="134"/>
      <c r="G56" s="134"/>
      <c r="H56" s="134"/>
      <c r="I56" s="134"/>
      <c r="J56" s="134"/>
      <c r="K56" s="134"/>
      <c r="L56" s="134"/>
      <c r="M56" s="134"/>
      <c r="N56" s="134"/>
      <c r="O56" s="134"/>
      <c r="P56" s="134"/>
      <c r="Q56" s="134"/>
      <c r="R56" s="134"/>
      <c r="S56" s="134"/>
      <c r="T56" s="134"/>
      <c r="U56" s="134"/>
      <c r="V56" s="134"/>
      <c r="W56" s="134"/>
      <c r="X56" s="134"/>
      <c r="Y56" s="134"/>
    </row>
    <row r="57" spans="1:25">
      <c r="A57" s="134"/>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134"/>
    </row>
    <row r="58" spans="1:25">
      <c r="A58" s="134"/>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row>
    <row r="59" spans="1:25">
      <c r="A59" s="134"/>
      <c r="B59" s="134"/>
      <c r="C59" s="134"/>
      <c r="D59" s="134"/>
      <c r="E59" s="134"/>
      <c r="F59" s="134"/>
      <c r="G59" s="134"/>
      <c r="H59" s="134"/>
      <c r="I59" s="134"/>
      <c r="J59" s="134"/>
      <c r="K59" s="134"/>
      <c r="L59" s="134"/>
      <c r="M59" s="134"/>
      <c r="N59" s="134"/>
      <c r="O59" s="134"/>
      <c r="P59" s="134"/>
      <c r="Q59" s="134"/>
      <c r="R59" s="134"/>
      <c r="S59" s="134"/>
      <c r="T59" s="134"/>
      <c r="U59" s="134"/>
      <c r="V59" s="134"/>
      <c r="W59" s="134"/>
      <c r="X59" s="134"/>
      <c r="Y59" s="134"/>
    </row>
    <row r="60" spans="1:25">
      <c r="A60" s="134"/>
      <c r="B60" s="134"/>
      <c r="C60" s="134"/>
      <c r="D60" s="134"/>
      <c r="E60" s="134"/>
      <c r="F60" s="134"/>
      <c r="G60" s="134"/>
      <c r="H60" s="134"/>
      <c r="I60" s="134"/>
      <c r="J60" s="134"/>
      <c r="K60" s="134"/>
      <c r="L60" s="134"/>
      <c r="M60" s="134"/>
      <c r="N60" s="134"/>
      <c r="O60" s="134"/>
      <c r="P60" s="134"/>
      <c r="Q60" s="134"/>
      <c r="R60" s="134"/>
      <c r="S60" s="134"/>
      <c r="T60" s="134"/>
      <c r="U60" s="134"/>
      <c r="V60" s="134"/>
      <c r="W60" s="134"/>
      <c r="X60" s="134"/>
      <c r="Y60" s="134"/>
    </row>
    <row r="61" spans="1:25">
      <c r="A61" s="134"/>
      <c r="B61" s="134"/>
      <c r="C61" s="134"/>
      <c r="D61" s="134"/>
      <c r="E61" s="134"/>
      <c r="F61" s="134"/>
      <c r="G61" s="134"/>
      <c r="H61" s="134"/>
      <c r="I61" s="134"/>
      <c r="J61" s="134"/>
      <c r="K61" s="134"/>
      <c r="L61" s="134"/>
      <c r="M61" s="134"/>
      <c r="N61" s="134"/>
      <c r="O61" s="134"/>
      <c r="P61" s="134"/>
      <c r="Q61" s="134"/>
      <c r="R61" s="134"/>
      <c r="S61" s="134"/>
      <c r="T61" s="134"/>
      <c r="U61" s="134"/>
      <c r="V61" s="134"/>
      <c r="W61" s="134"/>
      <c r="X61" s="134"/>
      <c r="Y61" s="134"/>
    </row>
    <row r="62" spans="1:25">
      <c r="A62" s="134"/>
      <c r="B62" s="134"/>
      <c r="C62" s="134"/>
      <c r="D62" s="134"/>
      <c r="E62" s="134"/>
      <c r="F62" s="134"/>
      <c r="G62" s="134"/>
      <c r="H62" s="134"/>
      <c r="I62" s="134"/>
      <c r="J62" s="134"/>
      <c r="K62" s="134"/>
      <c r="L62" s="134"/>
      <c r="M62" s="134"/>
      <c r="N62" s="134"/>
      <c r="O62" s="134"/>
      <c r="P62" s="134"/>
      <c r="Q62" s="134"/>
      <c r="R62" s="134"/>
      <c r="S62" s="134"/>
      <c r="T62" s="134"/>
      <c r="U62" s="134"/>
      <c r="V62" s="134"/>
      <c r="W62" s="134"/>
      <c r="X62" s="134"/>
      <c r="Y62" s="134"/>
    </row>
    <row r="63" spans="1:25">
      <c r="A63" s="134"/>
      <c r="B63" s="134"/>
      <c r="C63" s="134"/>
      <c r="D63" s="134"/>
      <c r="E63" s="134"/>
      <c r="F63" s="134"/>
      <c r="G63" s="134"/>
      <c r="H63" s="134"/>
      <c r="I63" s="134"/>
      <c r="J63" s="134"/>
      <c r="K63" s="134"/>
      <c r="L63" s="134"/>
      <c r="M63" s="134"/>
      <c r="N63" s="134"/>
      <c r="O63" s="134"/>
      <c r="P63" s="134"/>
      <c r="Q63" s="134"/>
      <c r="R63" s="134"/>
      <c r="S63" s="134"/>
      <c r="T63" s="134"/>
      <c r="U63" s="134"/>
      <c r="V63" s="134"/>
      <c r="W63" s="134"/>
      <c r="X63" s="134"/>
      <c r="Y63" s="134"/>
    </row>
    <row r="64" spans="1:25">
      <c r="A64" s="134"/>
      <c r="B64" s="134"/>
      <c r="C64" s="134"/>
      <c r="D64" s="134"/>
      <c r="E64" s="134"/>
      <c r="F64" s="134"/>
      <c r="G64" s="134"/>
      <c r="H64" s="134"/>
      <c r="I64" s="134"/>
      <c r="J64" s="134"/>
      <c r="K64" s="134"/>
      <c r="L64" s="134"/>
      <c r="M64" s="134"/>
      <c r="N64" s="134"/>
      <c r="O64" s="134"/>
      <c r="P64" s="134"/>
      <c r="Q64" s="134"/>
      <c r="R64" s="134"/>
      <c r="S64" s="134"/>
      <c r="T64" s="134"/>
      <c r="U64" s="134"/>
      <c r="V64" s="134"/>
      <c r="W64" s="134"/>
      <c r="X64" s="134"/>
      <c r="Y64" s="134"/>
    </row>
    <row r="65" spans="1:25">
      <c r="A65" s="134"/>
      <c r="B65" s="134"/>
      <c r="C65" s="134"/>
      <c r="D65" s="134"/>
      <c r="E65" s="134"/>
      <c r="F65" s="134"/>
      <c r="G65" s="134"/>
      <c r="H65" s="134"/>
      <c r="I65" s="134"/>
      <c r="J65" s="134"/>
      <c r="K65" s="134"/>
      <c r="L65" s="134"/>
      <c r="M65" s="134"/>
      <c r="N65" s="134"/>
      <c r="O65" s="134"/>
      <c r="P65" s="134"/>
      <c r="Q65" s="134"/>
      <c r="R65" s="134"/>
      <c r="S65" s="134"/>
      <c r="T65" s="134"/>
      <c r="U65" s="134"/>
      <c r="V65" s="134"/>
      <c r="W65" s="134"/>
      <c r="X65" s="134"/>
      <c r="Y65" s="134"/>
    </row>
    <row r="66" spans="1:25">
      <c r="A66" s="134"/>
      <c r="B66" s="134"/>
      <c r="C66" s="134"/>
      <c r="D66" s="134"/>
      <c r="E66" s="134"/>
      <c r="F66" s="134"/>
      <c r="G66" s="134"/>
      <c r="H66" s="134"/>
      <c r="I66" s="134"/>
      <c r="J66" s="134"/>
      <c r="K66" s="134"/>
      <c r="L66" s="134"/>
      <c r="M66" s="134"/>
      <c r="N66" s="134"/>
      <c r="O66" s="134"/>
      <c r="P66" s="134"/>
      <c r="Q66" s="134"/>
      <c r="R66" s="134"/>
      <c r="S66" s="134"/>
      <c r="T66" s="134"/>
      <c r="U66" s="134"/>
      <c r="V66" s="134"/>
      <c r="W66" s="134"/>
      <c r="X66" s="134"/>
      <c r="Y66" s="134"/>
    </row>
    <row r="67" spans="1:25">
      <c r="A67" s="134"/>
      <c r="B67" s="134"/>
      <c r="C67" s="134"/>
      <c r="D67" s="134"/>
      <c r="E67" s="134"/>
      <c r="F67" s="134"/>
      <c r="G67" s="134"/>
      <c r="H67" s="134"/>
      <c r="I67" s="134"/>
      <c r="J67" s="134"/>
      <c r="K67" s="134"/>
      <c r="L67" s="134"/>
      <c r="M67" s="134"/>
      <c r="N67" s="134"/>
      <c r="O67" s="134"/>
      <c r="P67" s="134"/>
      <c r="Q67" s="134"/>
      <c r="R67" s="134"/>
      <c r="S67" s="134"/>
      <c r="T67" s="134"/>
      <c r="U67" s="134"/>
      <c r="V67" s="134"/>
      <c r="W67" s="134"/>
      <c r="X67" s="134"/>
      <c r="Y67" s="134"/>
    </row>
    <row r="68" spans="1:25">
      <c r="A68" s="134"/>
      <c r="B68" s="134"/>
      <c r="C68" s="134"/>
      <c r="D68" s="134"/>
      <c r="E68" s="134"/>
      <c r="F68" s="134"/>
      <c r="G68" s="134"/>
      <c r="H68" s="134"/>
      <c r="I68" s="134"/>
      <c r="J68" s="134"/>
      <c r="K68" s="134"/>
      <c r="L68" s="134"/>
      <c r="M68" s="134"/>
      <c r="N68" s="134"/>
      <c r="O68" s="134"/>
      <c r="P68" s="134"/>
      <c r="Q68" s="134"/>
      <c r="R68" s="134"/>
      <c r="S68" s="134"/>
      <c r="T68" s="134"/>
      <c r="U68" s="134"/>
      <c r="V68" s="134"/>
      <c r="W68" s="134"/>
      <c r="X68" s="134"/>
      <c r="Y68" s="134"/>
    </row>
    <row r="69" spans="1:25">
      <c r="A69" s="134"/>
      <c r="B69" s="134"/>
      <c r="C69" s="134"/>
      <c r="D69" s="134"/>
      <c r="E69" s="134"/>
      <c r="F69" s="134"/>
      <c r="G69" s="134"/>
      <c r="H69" s="134"/>
      <c r="I69" s="134"/>
      <c r="J69" s="134"/>
      <c r="K69" s="134"/>
      <c r="L69" s="134"/>
      <c r="M69" s="134"/>
      <c r="N69" s="134"/>
      <c r="O69" s="134"/>
      <c r="P69" s="134"/>
      <c r="Q69" s="134"/>
      <c r="R69" s="134"/>
      <c r="S69" s="134"/>
      <c r="T69" s="134"/>
      <c r="U69" s="134"/>
      <c r="V69" s="134"/>
      <c r="W69" s="134"/>
      <c r="X69" s="134"/>
      <c r="Y69" s="567"/>
    </row>
    <row r="70" spans="1:25">
      <c r="A70" s="134"/>
      <c r="B70" s="134"/>
      <c r="C70" s="134"/>
      <c r="D70" s="134"/>
      <c r="E70" s="134"/>
      <c r="F70" s="134"/>
      <c r="G70" s="134"/>
      <c r="H70" s="134"/>
      <c r="I70" s="134"/>
      <c r="J70" s="134"/>
      <c r="K70" s="134"/>
      <c r="L70" s="134"/>
      <c r="M70" s="134"/>
      <c r="N70" s="134"/>
      <c r="O70" s="134"/>
      <c r="P70" s="134"/>
      <c r="Q70" s="134"/>
      <c r="R70" s="134"/>
      <c r="S70" s="134"/>
      <c r="T70" s="134"/>
      <c r="U70" s="134"/>
      <c r="V70" s="134"/>
      <c r="W70" s="134"/>
      <c r="X70" s="134"/>
      <c r="Y70" s="134"/>
    </row>
    <row r="71" spans="1:25">
      <c r="A71" s="134"/>
      <c r="B71" s="134"/>
      <c r="C71" s="134"/>
      <c r="D71" s="134"/>
      <c r="E71" s="134"/>
      <c r="F71" s="134"/>
      <c r="G71" s="134"/>
      <c r="H71" s="134"/>
      <c r="I71" s="134"/>
      <c r="J71" s="134"/>
      <c r="K71" s="134"/>
      <c r="L71" s="134"/>
      <c r="M71" s="134"/>
      <c r="N71" s="134"/>
      <c r="O71" s="134"/>
      <c r="P71" s="134"/>
      <c r="Q71" s="134"/>
      <c r="R71" s="134"/>
      <c r="S71" s="134"/>
      <c r="T71" s="134"/>
      <c r="U71" s="134"/>
      <c r="V71" s="134"/>
      <c r="W71" s="134"/>
      <c r="X71" s="134"/>
      <c r="Y71" s="134"/>
    </row>
    <row r="72" spans="1:25">
      <c r="A72" s="134"/>
      <c r="B72" s="134"/>
      <c r="C72" s="134"/>
      <c r="D72" s="134"/>
      <c r="E72" s="134"/>
      <c r="F72" s="134"/>
      <c r="G72" s="134"/>
      <c r="H72" s="134"/>
      <c r="I72" s="134"/>
      <c r="J72" s="134"/>
      <c r="K72" s="134"/>
      <c r="L72" s="134"/>
      <c r="M72" s="134"/>
      <c r="N72" s="134"/>
      <c r="O72" s="134"/>
      <c r="P72" s="134"/>
      <c r="Q72" s="134"/>
      <c r="R72" s="134"/>
      <c r="S72" s="134"/>
      <c r="T72" s="134"/>
      <c r="U72" s="134"/>
      <c r="V72" s="134"/>
      <c r="W72" s="134"/>
      <c r="X72" s="134"/>
      <c r="Y72" s="134"/>
    </row>
    <row r="73" spans="1:25">
      <c r="A73" s="134"/>
      <c r="B73" s="134"/>
      <c r="C73" s="134"/>
      <c r="D73" s="134"/>
      <c r="E73" s="134"/>
      <c r="F73" s="134"/>
      <c r="G73" s="134"/>
      <c r="H73" s="134"/>
      <c r="I73" s="134"/>
      <c r="J73" s="134"/>
      <c r="K73" s="134"/>
      <c r="L73" s="134"/>
      <c r="M73" s="134"/>
      <c r="N73" s="134"/>
      <c r="O73" s="134"/>
      <c r="P73" s="134"/>
      <c r="Q73" s="134"/>
      <c r="R73" s="134"/>
      <c r="S73" s="134"/>
      <c r="T73" s="134"/>
      <c r="U73" s="134"/>
      <c r="V73" s="134"/>
      <c r="W73" s="134"/>
      <c r="X73" s="134"/>
      <c r="Y73" s="134"/>
    </row>
    <row r="74" spans="1:25">
      <c r="A74" s="134"/>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row>
    <row r="75" spans="1:25">
      <c r="A75" s="134"/>
      <c r="B75" s="134"/>
      <c r="C75" s="134"/>
      <c r="D75" s="134"/>
      <c r="E75" s="134"/>
      <c r="F75" s="134"/>
      <c r="G75" s="134"/>
      <c r="H75" s="134"/>
      <c r="I75" s="134"/>
      <c r="J75" s="134"/>
      <c r="K75" s="134"/>
      <c r="L75" s="134"/>
      <c r="M75" s="134"/>
      <c r="N75" s="134"/>
      <c r="O75" s="134"/>
      <c r="P75" s="134"/>
      <c r="Q75" s="134"/>
      <c r="R75" s="134"/>
      <c r="S75" s="134"/>
      <c r="T75" s="134"/>
      <c r="U75" s="134"/>
      <c r="V75" s="134"/>
      <c r="W75" s="134"/>
      <c r="X75" s="134"/>
      <c r="Y75" s="134"/>
    </row>
    <row r="76" spans="1:25">
      <c r="A76" s="134"/>
      <c r="B76" s="134"/>
      <c r="C76" s="134"/>
      <c r="D76" s="134"/>
      <c r="E76" s="134"/>
      <c r="F76" s="134"/>
      <c r="G76" s="134"/>
      <c r="H76" s="134"/>
      <c r="I76" s="134"/>
      <c r="J76" s="134"/>
      <c r="K76" s="134"/>
      <c r="L76" s="134"/>
      <c r="M76" s="134"/>
      <c r="N76" s="134"/>
      <c r="O76" s="134"/>
      <c r="P76" s="134"/>
      <c r="Q76" s="134"/>
      <c r="R76" s="134"/>
      <c r="S76" s="134"/>
      <c r="T76" s="134"/>
      <c r="U76" s="134"/>
      <c r="V76" s="134"/>
      <c r="W76" s="134"/>
      <c r="X76" s="134"/>
      <c r="Y76" s="134"/>
    </row>
    <row r="77" spans="1:25">
      <c r="A77" s="134"/>
      <c r="B77" s="134"/>
      <c r="C77" s="134"/>
      <c r="D77" s="134"/>
      <c r="E77" s="134"/>
      <c r="F77" s="134"/>
      <c r="G77" s="134"/>
      <c r="H77" s="134"/>
      <c r="I77" s="134"/>
      <c r="J77" s="134"/>
      <c r="K77" s="134"/>
      <c r="L77" s="134"/>
      <c r="M77" s="134"/>
      <c r="N77" s="134"/>
      <c r="O77" s="134"/>
      <c r="P77" s="134"/>
      <c r="Q77" s="134"/>
      <c r="R77" s="134"/>
      <c r="S77" s="134"/>
      <c r="T77" s="134"/>
      <c r="U77" s="134"/>
      <c r="V77" s="134"/>
      <c r="W77" s="134"/>
      <c r="X77" s="134"/>
      <c r="Y77" s="134"/>
    </row>
    <row r="78" spans="1:25">
      <c r="A78" s="134"/>
      <c r="B78" s="134"/>
      <c r="C78" s="134"/>
      <c r="D78" s="134"/>
      <c r="E78" s="134"/>
      <c r="F78" s="134"/>
      <c r="G78" s="134"/>
      <c r="H78" s="134"/>
      <c r="I78" s="134"/>
      <c r="J78" s="134"/>
      <c r="K78" s="134"/>
      <c r="L78" s="134"/>
      <c r="M78" s="134"/>
      <c r="N78" s="134"/>
      <c r="O78" s="134"/>
      <c r="P78" s="134"/>
      <c r="Q78" s="134"/>
      <c r="R78" s="134"/>
      <c r="S78" s="134"/>
      <c r="T78" s="134"/>
      <c r="U78" s="134"/>
      <c r="V78" s="134"/>
      <c r="W78" s="134"/>
      <c r="X78" s="134"/>
      <c r="Y78" s="134"/>
    </row>
    <row r="79" spans="1:25">
      <c r="A79" s="134"/>
      <c r="B79" s="134"/>
      <c r="C79" s="134"/>
      <c r="D79" s="134"/>
      <c r="E79" s="134"/>
      <c r="F79" s="134"/>
      <c r="G79" s="134"/>
      <c r="H79" s="134"/>
      <c r="I79" s="134"/>
      <c r="J79" s="134"/>
      <c r="K79" s="134"/>
      <c r="L79" s="134"/>
      <c r="M79" s="134"/>
      <c r="N79" s="134"/>
      <c r="O79" s="134"/>
      <c r="P79" s="134"/>
      <c r="Q79" s="134"/>
      <c r="R79" s="134"/>
      <c r="S79" s="134"/>
      <c r="T79" s="134"/>
      <c r="U79" s="134"/>
      <c r="V79" s="134"/>
      <c r="W79" s="134"/>
      <c r="X79" s="134"/>
      <c r="Y79" s="134"/>
    </row>
    <row r="80" spans="1:25">
      <c r="A80" s="134"/>
      <c r="B80" s="134"/>
      <c r="C80" s="134"/>
      <c r="D80" s="134"/>
      <c r="E80" s="134"/>
      <c r="F80" s="134"/>
      <c r="G80" s="134"/>
      <c r="H80" s="134"/>
      <c r="I80" s="134"/>
      <c r="J80" s="134"/>
      <c r="K80" s="134"/>
      <c r="L80" s="134"/>
      <c r="M80" s="134"/>
      <c r="N80" s="134"/>
      <c r="O80" s="134"/>
      <c r="P80" s="134"/>
      <c r="Q80" s="134"/>
      <c r="R80" s="134"/>
      <c r="S80" s="134"/>
      <c r="T80" s="134"/>
      <c r="U80" s="134"/>
      <c r="V80" s="134"/>
      <c r="W80" s="134"/>
      <c r="X80" s="134"/>
      <c r="Y80" s="134"/>
    </row>
    <row r="81" spans="1:25">
      <c r="A81" s="134"/>
      <c r="B81" s="134"/>
      <c r="C81" s="134"/>
      <c r="D81" s="134"/>
      <c r="E81" s="134"/>
      <c r="F81" s="134"/>
      <c r="G81" s="134"/>
      <c r="H81" s="134"/>
      <c r="I81" s="134"/>
      <c r="J81" s="134"/>
      <c r="K81" s="134"/>
      <c r="L81" s="134"/>
      <c r="M81" s="134"/>
      <c r="N81" s="134"/>
      <c r="O81" s="134"/>
      <c r="P81" s="134"/>
      <c r="Q81" s="134"/>
      <c r="R81" s="134"/>
      <c r="S81" s="134"/>
      <c r="T81" s="134"/>
      <c r="U81" s="134"/>
      <c r="V81" s="134"/>
      <c r="W81" s="134"/>
      <c r="X81" s="134"/>
      <c r="Y81" s="567" t="str">
        <f>Intro!A33</f>
        <v>PFASen (Ver. 2.4) - 2025-10-09</v>
      </c>
    </row>
  </sheetData>
  <sheetProtection algorithmName="SHA-512" hashValue="NFonV4JjxWQifpnbBVazgQGv+Xc8DHDqGV/mvrdYao7Cv6aQPEqAA1NArByyYIDkGlOgsrCN2EgYTFBnIw3qfQ==" saltValue="2wfEChZJmushY2+j8FswzQ==" spinCount="100000" sheet="1" objects="1" scenarios="1" selectLockedCells="1" selectUnlockedCells="1"/>
  <pageMargins left="0.25" right="0.25" top="0.75" bottom="0.75" header="0.3" footer="0.3"/>
  <pageSetup paperSize="8" scale="61" orientation="portrait" r:id="rId1"/>
  <colBreaks count="1" manualBreakCount="1">
    <brk id="25"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EA4A-0B41-472A-83B9-FCF308AE0BF8}">
  <sheetPr>
    <tabColor theme="0" tint="-0.14999847407452621"/>
  </sheetPr>
  <dimension ref="A1:D114"/>
  <sheetViews>
    <sheetView zoomScaleNormal="100" workbookViewId="0">
      <selection activeCell="A38" sqref="A38"/>
    </sheetView>
  </sheetViews>
  <sheetFormatPr defaultRowHeight="15"/>
  <cols>
    <col min="1" max="1" width="113.42578125" style="98" customWidth="1"/>
    <col min="2" max="3" width="11.28515625" style="98" customWidth="1"/>
    <col min="4" max="4" width="67.5703125" style="98" bestFit="1" customWidth="1"/>
    <col min="5" max="16384" width="9.140625" style="98"/>
  </cols>
  <sheetData>
    <row r="1" spans="1:4" ht="30">
      <c r="A1" s="560" t="s">
        <v>339</v>
      </c>
      <c r="B1" s="561" t="s">
        <v>338</v>
      </c>
      <c r="C1" s="562" t="s">
        <v>337</v>
      </c>
      <c r="D1" s="563" t="s">
        <v>336</v>
      </c>
    </row>
    <row r="2" spans="1:4">
      <c r="A2" s="552" t="s">
        <v>364</v>
      </c>
      <c r="B2" s="553">
        <v>45917</v>
      </c>
      <c r="C2" s="554" t="s">
        <v>344</v>
      </c>
      <c r="D2" s="552" t="s">
        <v>365</v>
      </c>
    </row>
    <row r="3" spans="1:4">
      <c r="A3" s="552" t="s">
        <v>346</v>
      </c>
      <c r="B3" s="553">
        <v>45917</v>
      </c>
      <c r="C3" s="554" t="s">
        <v>344</v>
      </c>
      <c r="D3" s="552" t="s">
        <v>347</v>
      </c>
    </row>
    <row r="4" spans="1:4">
      <c r="A4" s="552" t="s">
        <v>419</v>
      </c>
      <c r="B4" s="553">
        <v>45939</v>
      </c>
      <c r="C4" s="554" t="s">
        <v>344</v>
      </c>
      <c r="D4" s="552" t="s">
        <v>424</v>
      </c>
    </row>
    <row r="5" spans="1:4">
      <c r="A5" s="557" t="s">
        <v>428</v>
      </c>
      <c r="B5" s="558">
        <v>45917</v>
      </c>
      <c r="C5" s="559" t="s">
        <v>344</v>
      </c>
      <c r="D5" s="645" t="s">
        <v>345</v>
      </c>
    </row>
    <row r="6" spans="1:4">
      <c r="A6" s="552" t="s">
        <v>429</v>
      </c>
      <c r="B6" s="553">
        <v>45939</v>
      </c>
      <c r="C6" s="554" t="s">
        <v>344</v>
      </c>
      <c r="D6" s="552" t="s">
        <v>425</v>
      </c>
    </row>
    <row r="7" spans="1:4">
      <c r="A7" s="552" t="s">
        <v>430</v>
      </c>
      <c r="B7" s="553">
        <v>45939</v>
      </c>
      <c r="C7" s="554" t="s">
        <v>344</v>
      </c>
      <c r="D7" s="552" t="s">
        <v>427</v>
      </c>
    </row>
    <row r="8" spans="1:4">
      <c r="A8" s="552" t="s">
        <v>439</v>
      </c>
      <c r="B8" s="553">
        <v>45939</v>
      </c>
      <c r="C8" s="554" t="s">
        <v>344</v>
      </c>
      <c r="D8" s="552" t="s">
        <v>365</v>
      </c>
    </row>
    <row r="9" spans="1:4">
      <c r="A9" s="552" t="s">
        <v>363</v>
      </c>
      <c r="B9" s="553">
        <v>45917</v>
      </c>
      <c r="C9" s="554" t="s">
        <v>344</v>
      </c>
      <c r="D9" s="552" t="s">
        <v>347</v>
      </c>
    </row>
    <row r="10" spans="1:4">
      <c r="A10" s="552" t="s">
        <v>443</v>
      </c>
      <c r="B10" s="553">
        <v>45917</v>
      </c>
      <c r="C10" s="554" t="s">
        <v>344</v>
      </c>
      <c r="D10" s="552" t="s">
        <v>347</v>
      </c>
    </row>
    <row r="11" spans="1:4">
      <c r="A11" s="552" t="s">
        <v>444</v>
      </c>
      <c r="B11" s="553">
        <v>45917</v>
      </c>
      <c r="C11" s="554" t="s">
        <v>344</v>
      </c>
      <c r="D11" s="552" t="s">
        <v>347</v>
      </c>
    </row>
    <row r="12" spans="1:4">
      <c r="A12" s="555" t="s">
        <v>360</v>
      </c>
      <c r="B12" s="553">
        <v>45922</v>
      </c>
      <c r="C12" s="554" t="s">
        <v>344</v>
      </c>
      <c r="D12" s="552" t="s">
        <v>362</v>
      </c>
    </row>
    <row r="13" spans="1:4">
      <c r="A13" s="552" t="s">
        <v>348</v>
      </c>
      <c r="B13" s="553">
        <v>45922</v>
      </c>
      <c r="C13" s="554" t="s">
        <v>344</v>
      </c>
      <c r="D13" s="646" t="s">
        <v>391</v>
      </c>
    </row>
    <row r="14" spans="1:4">
      <c r="A14" s="552" t="s">
        <v>353</v>
      </c>
      <c r="B14" s="553">
        <v>45922</v>
      </c>
      <c r="C14" s="554" t="s">
        <v>344</v>
      </c>
      <c r="D14" s="552" t="s">
        <v>354</v>
      </c>
    </row>
    <row r="15" spans="1:4">
      <c r="A15" s="552" t="s">
        <v>420</v>
      </c>
      <c r="B15" s="553">
        <v>45922</v>
      </c>
      <c r="C15" s="554" t="s">
        <v>344</v>
      </c>
      <c r="D15" s="552" t="s">
        <v>354</v>
      </c>
    </row>
    <row r="16" spans="1:4">
      <c r="A16" s="552" t="s">
        <v>421</v>
      </c>
      <c r="B16" s="553">
        <v>45922</v>
      </c>
      <c r="C16" s="554" t="s">
        <v>344</v>
      </c>
      <c r="D16" s="552" t="s">
        <v>361</v>
      </c>
    </row>
    <row r="17" spans="1:4" ht="17.25">
      <c r="A17" s="552" t="s">
        <v>387</v>
      </c>
      <c r="B17" s="553">
        <v>45923</v>
      </c>
      <c r="C17" s="554" t="s">
        <v>344</v>
      </c>
      <c r="D17" s="552" t="s">
        <v>386</v>
      </c>
    </row>
    <row r="18" spans="1:4">
      <c r="A18" s="552" t="s">
        <v>372</v>
      </c>
      <c r="B18" s="553">
        <v>45923</v>
      </c>
      <c r="C18" s="554" t="s">
        <v>344</v>
      </c>
      <c r="D18" s="552" t="s">
        <v>371</v>
      </c>
    </row>
    <row r="19" spans="1:4">
      <c r="A19" s="552" t="s">
        <v>422</v>
      </c>
      <c r="B19" s="553">
        <v>45923</v>
      </c>
      <c r="C19" s="554" t="s">
        <v>344</v>
      </c>
      <c r="D19" s="552" t="s">
        <v>354</v>
      </c>
    </row>
    <row r="20" spans="1:4">
      <c r="A20" s="552" t="s">
        <v>442</v>
      </c>
      <c r="B20" s="553">
        <v>45923</v>
      </c>
      <c r="C20" s="554" t="s">
        <v>344</v>
      </c>
      <c r="D20" s="552" t="s">
        <v>354</v>
      </c>
    </row>
    <row r="21" spans="1:4">
      <c r="A21" s="552" t="s">
        <v>374</v>
      </c>
      <c r="B21" s="553">
        <v>45923</v>
      </c>
      <c r="C21" s="554" t="s">
        <v>344</v>
      </c>
      <c r="D21" s="552" t="s">
        <v>354</v>
      </c>
    </row>
    <row r="22" spans="1:4">
      <c r="A22" s="552" t="s">
        <v>382</v>
      </c>
      <c r="B22" s="553">
        <v>45923</v>
      </c>
      <c r="C22" s="554" t="s">
        <v>344</v>
      </c>
      <c r="D22" s="552" t="s">
        <v>354</v>
      </c>
    </row>
    <row r="23" spans="1:4">
      <c r="A23" s="552" t="s">
        <v>385</v>
      </c>
      <c r="B23" s="553">
        <v>45923</v>
      </c>
      <c r="C23" s="554" t="s">
        <v>344</v>
      </c>
      <c r="D23" s="552" t="s">
        <v>362</v>
      </c>
    </row>
    <row r="24" spans="1:4">
      <c r="A24" s="552" t="s">
        <v>392</v>
      </c>
      <c r="B24" s="553">
        <v>45933</v>
      </c>
      <c r="C24" s="554" t="s">
        <v>344</v>
      </c>
      <c r="D24" s="552" t="s">
        <v>402</v>
      </c>
    </row>
    <row r="25" spans="1:4">
      <c r="A25" s="552" t="s">
        <v>395</v>
      </c>
      <c r="B25" s="553">
        <v>45933</v>
      </c>
      <c r="C25" s="554" t="s">
        <v>344</v>
      </c>
      <c r="D25" s="552" t="s">
        <v>362</v>
      </c>
    </row>
    <row r="26" spans="1:4">
      <c r="A26" s="552" t="s">
        <v>423</v>
      </c>
      <c r="B26" s="553">
        <v>45936</v>
      </c>
      <c r="C26" s="554" t="s">
        <v>344</v>
      </c>
      <c r="D26" s="552" t="s">
        <v>362</v>
      </c>
    </row>
    <row r="27" spans="1:4">
      <c r="A27" s="552" t="s">
        <v>399</v>
      </c>
      <c r="B27" s="553">
        <v>45936</v>
      </c>
      <c r="C27" s="554" t="s">
        <v>344</v>
      </c>
      <c r="D27" s="552" t="s">
        <v>362</v>
      </c>
    </row>
    <row r="28" spans="1:4">
      <c r="A28" s="552" t="s">
        <v>426</v>
      </c>
      <c r="B28" s="553">
        <v>45936</v>
      </c>
      <c r="C28" s="554" t="s">
        <v>344</v>
      </c>
      <c r="D28" s="552" t="s">
        <v>402</v>
      </c>
    </row>
    <row r="29" spans="1:4">
      <c r="A29" s="552" t="s">
        <v>414</v>
      </c>
      <c r="B29" s="553">
        <v>45936</v>
      </c>
      <c r="C29" s="554" t="s">
        <v>344</v>
      </c>
      <c r="D29" s="552" t="s">
        <v>415</v>
      </c>
    </row>
    <row r="30" spans="1:4">
      <c r="A30" s="552" t="s">
        <v>413</v>
      </c>
      <c r="B30" s="553">
        <v>45936</v>
      </c>
      <c r="C30" s="554" t="s">
        <v>344</v>
      </c>
      <c r="D30" s="552" t="s">
        <v>402</v>
      </c>
    </row>
    <row r="31" spans="1:4">
      <c r="A31" s="552" t="s">
        <v>411</v>
      </c>
      <c r="B31" s="553">
        <v>45936</v>
      </c>
      <c r="C31" s="554" t="s">
        <v>344</v>
      </c>
      <c r="D31" s="552" t="s">
        <v>412</v>
      </c>
    </row>
    <row r="32" spans="1:4">
      <c r="A32" s="552" t="s">
        <v>438</v>
      </c>
      <c r="B32" s="553">
        <v>45936</v>
      </c>
      <c r="C32" s="554" t="s">
        <v>344</v>
      </c>
      <c r="D32" s="552" t="s">
        <v>347</v>
      </c>
    </row>
    <row r="33" spans="1:4">
      <c r="A33" s="555" t="s">
        <v>417</v>
      </c>
      <c r="B33" s="553">
        <v>45938</v>
      </c>
      <c r="C33" s="554" t="s">
        <v>344</v>
      </c>
      <c r="D33" s="552" t="s">
        <v>347</v>
      </c>
    </row>
    <row r="34" spans="1:4">
      <c r="A34" s="555" t="s">
        <v>441</v>
      </c>
      <c r="B34" s="553">
        <v>45939</v>
      </c>
      <c r="C34" s="554" t="s">
        <v>344</v>
      </c>
      <c r="D34" s="552" t="s">
        <v>362</v>
      </c>
    </row>
    <row r="35" spans="1:4">
      <c r="A35" s="552" t="s">
        <v>445</v>
      </c>
      <c r="B35" s="553">
        <v>45939</v>
      </c>
      <c r="C35" s="554" t="s">
        <v>344</v>
      </c>
      <c r="D35" s="552" t="s">
        <v>365</v>
      </c>
    </row>
    <row r="36" spans="1:4">
      <c r="A36" s="552"/>
      <c r="B36" s="553"/>
      <c r="C36" s="554"/>
      <c r="D36" s="552"/>
    </row>
    <row r="37" spans="1:4">
      <c r="A37" s="556"/>
      <c r="B37" s="553"/>
      <c r="C37" s="554"/>
      <c r="D37" s="564" t="str">
        <f>Intro!A33</f>
        <v>PFASen (Ver. 2.4) - 2025-10-09</v>
      </c>
    </row>
    <row r="38" spans="1:4">
      <c r="B38" s="547"/>
      <c r="C38" s="112"/>
      <c r="D38" s="548"/>
    </row>
    <row r="39" spans="1:4">
      <c r="B39" s="547"/>
      <c r="C39" s="112"/>
    </row>
    <row r="40" spans="1:4">
      <c r="B40" s="547"/>
      <c r="C40" s="112"/>
    </row>
    <row r="41" spans="1:4">
      <c r="B41" s="547"/>
      <c r="C41" s="112"/>
    </row>
    <row r="42" spans="1:4">
      <c r="A42" s="549"/>
      <c r="B42" s="547"/>
      <c r="C42" s="112"/>
    </row>
    <row r="43" spans="1:4">
      <c r="A43" s="549"/>
      <c r="B43" s="547"/>
      <c r="C43" s="112"/>
    </row>
    <row r="44" spans="1:4">
      <c r="B44" s="547"/>
      <c r="C44" s="112"/>
      <c r="D44" s="548"/>
    </row>
    <row r="45" spans="1:4">
      <c r="B45" s="547"/>
      <c r="C45" s="112"/>
      <c r="D45" s="548"/>
    </row>
    <row r="46" spans="1:4">
      <c r="B46" s="547"/>
      <c r="C46" s="112"/>
      <c r="D46" s="548"/>
    </row>
    <row r="47" spans="1:4">
      <c r="B47" s="547"/>
      <c r="C47" s="112"/>
      <c r="D47" s="548"/>
    </row>
    <row r="48" spans="1:4">
      <c r="A48" s="549"/>
      <c r="B48" s="547"/>
      <c r="C48" s="112"/>
      <c r="D48" s="548"/>
    </row>
    <row r="49" spans="1:4">
      <c r="B49" s="547"/>
      <c r="C49" s="112"/>
      <c r="D49" s="548"/>
    </row>
    <row r="50" spans="1:4">
      <c r="B50" s="547"/>
      <c r="C50" s="112"/>
      <c r="D50" s="548"/>
    </row>
    <row r="51" spans="1:4">
      <c r="B51" s="547"/>
      <c r="C51" s="112"/>
    </row>
    <row r="52" spans="1:4">
      <c r="B52" s="547"/>
      <c r="C52" s="112"/>
    </row>
    <row r="53" spans="1:4">
      <c r="A53" s="549"/>
      <c r="B53" s="547"/>
      <c r="C53" s="112"/>
    </row>
    <row r="54" spans="1:4">
      <c r="B54" s="547"/>
      <c r="C54" s="112"/>
    </row>
    <row r="55" spans="1:4">
      <c r="A55" s="549"/>
      <c r="B55" s="547"/>
      <c r="C55" s="112"/>
    </row>
    <row r="56" spans="1:4">
      <c r="A56" s="549"/>
      <c r="B56" s="547"/>
      <c r="C56" s="112"/>
    </row>
    <row r="57" spans="1:4">
      <c r="A57" s="549"/>
      <c r="B57" s="547"/>
      <c r="C57" s="112"/>
    </row>
    <row r="58" spans="1:4">
      <c r="A58" s="549"/>
      <c r="B58" s="547"/>
      <c r="C58" s="112"/>
    </row>
    <row r="59" spans="1:4">
      <c r="A59" s="549"/>
      <c r="B59" s="547"/>
      <c r="C59" s="112"/>
    </row>
    <row r="60" spans="1:4">
      <c r="A60" s="549"/>
      <c r="B60" s="547"/>
      <c r="C60" s="112"/>
    </row>
    <row r="61" spans="1:4">
      <c r="A61" s="549"/>
      <c r="B61" s="547"/>
      <c r="C61" s="112"/>
    </row>
    <row r="62" spans="1:4">
      <c r="A62" s="549"/>
      <c r="B62" s="547"/>
      <c r="C62" s="112"/>
    </row>
    <row r="63" spans="1:4">
      <c r="A63" s="549"/>
      <c r="B63" s="547"/>
      <c r="C63" s="112"/>
    </row>
    <row r="64" spans="1:4">
      <c r="A64" s="549"/>
      <c r="B64" s="547"/>
      <c r="C64" s="112"/>
    </row>
    <row r="65" spans="1:3">
      <c r="A65" s="549"/>
      <c r="B65" s="547"/>
      <c r="C65" s="112"/>
    </row>
    <row r="66" spans="1:3">
      <c r="B66" s="547"/>
      <c r="C66" s="112"/>
    </row>
    <row r="67" spans="1:3">
      <c r="B67" s="547"/>
      <c r="C67" s="112"/>
    </row>
    <row r="68" spans="1:3">
      <c r="B68" s="547"/>
      <c r="C68" s="112"/>
    </row>
    <row r="69" spans="1:3">
      <c r="B69" s="547"/>
      <c r="C69" s="112"/>
    </row>
    <row r="70" spans="1:3">
      <c r="B70" s="547"/>
      <c r="C70" s="112"/>
    </row>
    <row r="71" spans="1:3">
      <c r="B71" s="547"/>
      <c r="C71" s="112"/>
    </row>
    <row r="72" spans="1:3">
      <c r="B72" s="547"/>
      <c r="C72" s="112"/>
    </row>
    <row r="73" spans="1:3">
      <c r="B73" s="547"/>
      <c r="C73" s="112"/>
    </row>
    <row r="74" spans="1:3">
      <c r="B74" s="547"/>
      <c r="C74" s="112"/>
    </row>
    <row r="75" spans="1:3">
      <c r="B75" s="547"/>
      <c r="C75" s="112"/>
    </row>
    <row r="76" spans="1:3">
      <c r="B76" s="547"/>
      <c r="C76" s="112"/>
    </row>
    <row r="77" spans="1:3">
      <c r="B77" s="547"/>
      <c r="C77" s="112"/>
    </row>
    <row r="78" spans="1:3">
      <c r="B78" s="547"/>
      <c r="C78" s="112"/>
    </row>
    <row r="79" spans="1:3">
      <c r="B79" s="547"/>
      <c r="C79" s="112"/>
    </row>
    <row r="80" spans="1:3" ht="7.5" customHeight="1">
      <c r="B80" s="547"/>
      <c r="C80" s="112"/>
    </row>
    <row r="81" spans="1:3">
      <c r="B81" s="547"/>
      <c r="C81" s="112"/>
    </row>
    <row r="82" spans="1:3">
      <c r="B82" s="547"/>
      <c r="C82" s="112"/>
    </row>
    <row r="83" spans="1:3">
      <c r="B83" s="547"/>
      <c r="C83" s="112"/>
    </row>
    <row r="84" spans="1:3">
      <c r="B84" s="547"/>
      <c r="C84" s="112"/>
    </row>
    <row r="90" spans="1:3">
      <c r="B90" s="547"/>
      <c r="C90" s="112"/>
    </row>
    <row r="91" spans="1:3">
      <c r="A91" s="550"/>
      <c r="C91" s="112"/>
    </row>
    <row r="92" spans="1:3">
      <c r="A92" s="551"/>
      <c r="C92" s="112"/>
    </row>
    <row r="93" spans="1:3">
      <c r="C93" s="112"/>
    </row>
    <row r="94" spans="1:3">
      <c r="C94" s="112"/>
    </row>
    <row r="95" spans="1:3">
      <c r="C95" s="112"/>
    </row>
    <row r="96" spans="1:3">
      <c r="C96" s="112"/>
    </row>
    <row r="97" spans="3:3">
      <c r="C97" s="112"/>
    </row>
    <row r="98" spans="3:3">
      <c r="C98" s="112"/>
    </row>
    <row r="99" spans="3:3">
      <c r="C99" s="112"/>
    </row>
    <row r="100" spans="3:3">
      <c r="C100" s="112"/>
    </row>
    <row r="101" spans="3:3">
      <c r="C101" s="112"/>
    </row>
    <row r="102" spans="3:3">
      <c r="C102" s="112"/>
    </row>
    <row r="103" spans="3:3">
      <c r="C103" s="112"/>
    </row>
    <row r="104" spans="3:3">
      <c r="C104" s="112"/>
    </row>
    <row r="105" spans="3:3">
      <c r="C105" s="112"/>
    </row>
    <row r="106" spans="3:3">
      <c r="C106" s="112"/>
    </row>
    <row r="107" spans="3:3">
      <c r="C107" s="112"/>
    </row>
    <row r="108" spans="3:3">
      <c r="C108" s="112"/>
    </row>
    <row r="109" spans="3:3">
      <c r="C109" s="112"/>
    </row>
    <row r="110" spans="3:3">
      <c r="C110" s="112"/>
    </row>
    <row r="111" spans="3:3">
      <c r="C111" s="112"/>
    </row>
    <row r="112" spans="3:3">
      <c r="C112" s="112"/>
    </row>
    <row r="113" spans="3:3">
      <c r="C113" s="112"/>
    </row>
    <row r="114" spans="3:3">
      <c r="C114" s="112"/>
    </row>
  </sheetData>
  <sheetProtection algorithmName="SHA-512" hashValue="tn5MVrMOiqw/6rLb9JYWoWlLeOnARXdvx+9P/94hggW6WNMSm2fv/5C7k2mnLDUrT0YkIoHbS118JYurOSB2og==" saltValue="QKECB64xv88CyWUMyUL8Sw==" spinCount="100000" sheet="1" objects="1" scenarios="1" selectLockedCells="1" selectUnlockedCells="1"/>
  <pageMargins left="0.25" right="0.25" top="0.75" bottom="0.75" header="0.3" footer="0.3"/>
  <pageSetup paperSize="9" scale="69" orientation="landscape" r:id="rId1"/>
  <rowBreaks count="1" manualBreakCount="1">
    <brk id="37"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4DCF-CC63-42D5-AC5A-B324BC110F79}">
  <sheetPr>
    <tabColor theme="0"/>
  </sheetPr>
  <dimension ref="A1"/>
  <sheetViews>
    <sheetView workbookViewId="0"/>
  </sheetViews>
  <sheetFormatPr defaultRowHeight="1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F0884-3680-4BA6-B60F-46673C6DF225}">
  <sheetPr>
    <tabColor rgb="FFFFFF00"/>
  </sheetPr>
  <dimension ref="A1:M12"/>
  <sheetViews>
    <sheetView zoomScale="130" zoomScaleNormal="130" zoomScaleSheetLayoutView="100" workbookViewId="0">
      <selection activeCell="B16" sqref="B16"/>
    </sheetView>
  </sheetViews>
  <sheetFormatPr defaultRowHeight="15"/>
  <cols>
    <col min="1" max="1" width="3.140625" style="98" customWidth="1"/>
    <col min="2" max="2" width="9.140625" style="98"/>
    <col min="3" max="3" width="10.7109375" style="98" customWidth="1"/>
    <col min="4" max="4" width="4.28515625" style="98" customWidth="1"/>
    <col min="5" max="5" width="35.42578125" style="98" customWidth="1"/>
    <col min="6" max="6" width="9.140625" style="98"/>
    <col min="7" max="7" width="5.5703125" style="98" customWidth="1"/>
    <col min="8" max="8" width="3.7109375" style="98" customWidth="1"/>
    <col min="9" max="9" width="4.140625" style="98" customWidth="1"/>
    <col min="10" max="10" width="1.28515625" style="98" customWidth="1"/>
    <col min="11" max="11" width="66.28515625" style="98" customWidth="1"/>
    <col min="12" max="12" width="0.7109375" style="98" customWidth="1"/>
    <col min="13" max="13" width="2.28515625" style="98" customWidth="1"/>
    <col min="14" max="16384" width="9.140625" style="98"/>
  </cols>
  <sheetData>
    <row r="1" spans="1:13">
      <c r="A1" s="2"/>
      <c r="B1" s="2"/>
      <c r="C1" s="2"/>
      <c r="D1" s="2"/>
      <c r="E1" s="2"/>
      <c r="F1" s="2"/>
      <c r="G1" s="2"/>
      <c r="I1" s="2"/>
      <c r="J1" s="2"/>
      <c r="K1" s="2"/>
      <c r="L1" s="2"/>
      <c r="M1" s="2"/>
    </row>
    <row r="2" spans="1:13" ht="17.25">
      <c r="A2" s="2"/>
      <c r="B2" s="2"/>
      <c r="C2" s="2"/>
      <c r="D2" s="2"/>
      <c r="E2" s="2"/>
      <c r="F2" s="2"/>
      <c r="G2" s="2"/>
      <c r="I2" s="2"/>
      <c r="J2" s="579"/>
      <c r="K2" s="580" t="s">
        <v>356</v>
      </c>
      <c r="L2" s="581"/>
      <c r="M2" s="2"/>
    </row>
    <row r="3" spans="1:13" ht="18.75">
      <c r="A3" s="2"/>
      <c r="B3" s="2"/>
      <c r="C3" s="2"/>
      <c r="D3" s="2"/>
      <c r="E3" s="2"/>
      <c r="F3" s="2"/>
      <c r="G3" s="2"/>
      <c r="I3" s="2"/>
      <c r="J3" s="582"/>
      <c r="K3" s="583" t="s">
        <v>381</v>
      </c>
      <c r="L3" s="584"/>
      <c r="M3" s="2"/>
    </row>
    <row r="4" spans="1:13" ht="36">
      <c r="A4" s="2"/>
      <c r="B4" s="2"/>
      <c r="C4" s="2"/>
      <c r="D4" s="2"/>
      <c r="E4" s="2"/>
      <c r="F4" s="2"/>
      <c r="G4" s="2"/>
      <c r="I4" s="2"/>
      <c r="J4" s="582"/>
      <c r="K4" s="585" t="s">
        <v>366</v>
      </c>
      <c r="L4" s="584"/>
      <c r="M4" s="2"/>
    </row>
    <row r="5" spans="1:13" ht="54.75">
      <c r="A5" s="2"/>
      <c r="B5" s="2"/>
      <c r="C5" s="2"/>
      <c r="D5" s="2"/>
      <c r="E5" s="2"/>
      <c r="F5" s="2"/>
      <c r="G5" s="2"/>
      <c r="I5" s="2"/>
      <c r="J5" s="582"/>
      <c r="K5" s="585" t="s">
        <v>367</v>
      </c>
      <c r="L5" s="584"/>
      <c r="M5" s="2"/>
    </row>
    <row r="6" spans="1:13">
      <c r="A6" s="2"/>
      <c r="B6" s="2"/>
      <c r="C6" s="2"/>
      <c r="D6" s="2"/>
      <c r="E6" s="2"/>
      <c r="F6" s="2"/>
      <c r="G6" s="2"/>
      <c r="I6" s="2"/>
      <c r="J6" s="586"/>
      <c r="K6" s="587"/>
      <c r="L6" s="588"/>
      <c r="M6" s="2"/>
    </row>
    <row r="7" spans="1:13">
      <c r="A7" s="2"/>
      <c r="B7" s="2"/>
      <c r="C7" s="2"/>
      <c r="D7" s="2"/>
      <c r="E7" s="2"/>
      <c r="F7" s="2"/>
      <c r="G7" s="2"/>
      <c r="I7" s="2"/>
      <c r="J7" s="2"/>
      <c r="K7" s="2"/>
      <c r="L7" s="2"/>
      <c r="M7" s="2"/>
    </row>
    <row r="8" spans="1:13">
      <c r="A8" s="2"/>
      <c r="B8" s="2"/>
      <c r="C8" s="2"/>
      <c r="D8" s="2"/>
      <c r="E8" s="2"/>
      <c r="F8" s="2"/>
      <c r="G8" s="2"/>
    </row>
    <row r="9" spans="1:13">
      <c r="A9" s="2"/>
      <c r="B9" s="2"/>
      <c r="C9" s="2"/>
      <c r="D9" s="2"/>
      <c r="E9" s="2"/>
      <c r="F9" s="2"/>
      <c r="G9" s="2"/>
    </row>
    <row r="10" spans="1:13">
      <c r="A10" s="2"/>
      <c r="B10" s="2"/>
      <c r="C10" s="2"/>
      <c r="D10" s="2"/>
      <c r="E10" s="2"/>
      <c r="F10" s="2"/>
      <c r="G10" s="2"/>
    </row>
    <row r="11" spans="1:13">
      <c r="A11" s="2"/>
      <c r="B11" s="36" t="s">
        <v>359</v>
      </c>
      <c r="C11" s="2"/>
      <c r="D11" s="2"/>
      <c r="E11" s="2"/>
      <c r="F11" s="2"/>
      <c r="G11" s="2"/>
    </row>
    <row r="12" spans="1:13">
      <c r="A12" s="2"/>
      <c r="B12" s="2"/>
      <c r="C12" s="2"/>
      <c r="D12" s="2"/>
      <c r="E12" s="2"/>
      <c r="F12" s="2"/>
      <c r="G12" s="2"/>
    </row>
  </sheetData>
  <sheetProtection algorithmName="SHA-512" hashValue="2peVgFeRipyeW0WtVo93d6qtOemYHZTsrx8L83xlOBylOs0wRK0+ijx6vHAhgD2B9wOrntsP6bZt0rBiIk52Sw==" saltValue="B5UZCvGUSwPhYamS3X8MRQ==" spinCount="100000" sheet="1" objects="1" scenarios="1" selectLockedCells="1" selectUnlockedCells="1"/>
  <pageMargins left="0.25" right="0.25" top="0.75" bottom="0.75" header="0.3" footer="0.3"/>
  <pageSetup paperSize="9" scale="73"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18BF8-D419-4907-815A-68CF76FEFFB6}">
  <sheetPr codeName="Ark8">
    <tabColor theme="0" tint="-0.14999847407452621"/>
  </sheetPr>
  <dimension ref="A1:AF51"/>
  <sheetViews>
    <sheetView topLeftCell="C1" zoomScaleNormal="100" workbookViewId="0">
      <selection activeCell="K39" sqref="K39"/>
    </sheetView>
  </sheetViews>
  <sheetFormatPr defaultRowHeight="15"/>
  <cols>
    <col min="1" max="1" width="9.140625" style="2"/>
    <col min="2" max="2" width="29.140625" style="2" customWidth="1"/>
    <col min="3" max="3" width="26.28515625" style="2" customWidth="1"/>
    <col min="4" max="4" width="7.7109375" style="2" customWidth="1"/>
    <col min="5" max="6" width="23.140625" style="2" customWidth="1"/>
    <col min="7" max="7" width="17.85546875" style="2" customWidth="1"/>
    <col min="8" max="8" width="6.5703125" style="2" customWidth="1"/>
    <col min="9" max="9" width="11.140625" style="2" bestFit="1" customWidth="1"/>
    <col min="10" max="10" width="12" style="2" bestFit="1" customWidth="1"/>
    <col min="11" max="11" width="39.42578125" style="2" bestFit="1" customWidth="1"/>
    <col min="12" max="12" width="4.85546875" style="2" customWidth="1"/>
    <col min="13" max="13" width="53.5703125" style="2" customWidth="1"/>
    <col min="14" max="14" width="5.28515625" style="2" customWidth="1"/>
    <col min="15" max="15" width="9.140625" style="2"/>
    <col min="16" max="16" width="25.42578125" style="2" customWidth="1"/>
    <col min="17" max="17" width="4.28515625" style="2" customWidth="1"/>
    <col min="18" max="18" width="6.28515625" style="2" bestFit="1" customWidth="1"/>
    <col min="19" max="19" width="20.140625" style="2" bestFit="1" customWidth="1"/>
    <col min="20" max="20" width="3" style="2" customWidth="1"/>
    <col min="21" max="21" width="20.140625" style="2" bestFit="1" customWidth="1"/>
    <col min="22" max="22" width="3.140625" style="2" customWidth="1"/>
    <col min="23" max="16384" width="9.140625" style="2"/>
  </cols>
  <sheetData>
    <row r="1" spans="1:32" ht="17.25">
      <c r="A1" s="52" t="s">
        <v>123</v>
      </c>
      <c r="B1" s="41" t="s">
        <v>91</v>
      </c>
      <c r="C1" s="41" t="s">
        <v>92</v>
      </c>
      <c r="D1" s="52" t="s">
        <v>122</v>
      </c>
      <c r="E1" s="52" t="s">
        <v>129</v>
      </c>
      <c r="F1" s="52" t="s">
        <v>130</v>
      </c>
      <c r="G1" s="52" t="s">
        <v>284</v>
      </c>
      <c r="H1" s="80"/>
      <c r="J1" s="8" t="s">
        <v>112</v>
      </c>
      <c r="M1" s="3"/>
      <c r="N1" s="3"/>
      <c r="X1" s="531" t="s">
        <v>350</v>
      </c>
    </row>
    <row r="2" spans="1:32" ht="17.25" customHeight="1">
      <c r="A2" s="226" t="s">
        <v>91</v>
      </c>
      <c r="B2" s="529" t="s">
        <v>187</v>
      </c>
      <c r="C2" s="55" t="s">
        <v>95</v>
      </c>
      <c r="D2" s="56" t="s">
        <v>90</v>
      </c>
      <c r="E2" s="53" t="s">
        <v>89</v>
      </c>
      <c r="F2" s="56" t="s">
        <v>89</v>
      </c>
      <c r="G2" s="226">
        <v>2</v>
      </c>
      <c r="H2" s="81"/>
      <c r="I2" s="7" t="s">
        <v>65</v>
      </c>
      <c r="J2" s="77" t="s">
        <v>62</v>
      </c>
      <c r="K2" s="7" t="s">
        <v>138</v>
      </c>
      <c r="M2" s="205" t="s">
        <v>84</v>
      </c>
      <c r="N2" s="3"/>
      <c r="O2" s="197" t="s">
        <v>207</v>
      </c>
      <c r="P2" s="82" t="s">
        <v>146</v>
      </c>
      <c r="S2" s="744" t="s">
        <v>331</v>
      </c>
      <c r="T2" s="745"/>
      <c r="U2" s="746"/>
      <c r="V2" s="275"/>
      <c r="X2" s="17" t="s">
        <v>351</v>
      </c>
      <c r="AF2" s="17" t="s">
        <v>352</v>
      </c>
    </row>
    <row r="3" spans="1:32" ht="17.25">
      <c r="A3" s="530" t="s">
        <v>92</v>
      </c>
      <c r="B3" s="529" t="s">
        <v>102</v>
      </c>
      <c r="C3" s="55" t="s">
        <v>96</v>
      </c>
      <c r="D3" s="57" t="s">
        <v>89</v>
      </c>
      <c r="E3" s="58" t="s">
        <v>126</v>
      </c>
      <c r="F3" s="225" t="s">
        <v>126</v>
      </c>
      <c r="G3" s="227">
        <v>3</v>
      </c>
      <c r="H3" s="81"/>
      <c r="I3" s="2" t="s">
        <v>10</v>
      </c>
      <c r="J3" s="78">
        <v>3</v>
      </c>
      <c r="K3" s="2" t="s">
        <v>50</v>
      </c>
      <c r="M3" s="83" t="s">
        <v>24</v>
      </c>
      <c r="N3" s="3"/>
      <c r="O3" s="199" t="s">
        <v>214</v>
      </c>
      <c r="P3" s="84" t="s">
        <v>21</v>
      </c>
      <c r="R3" s="17" t="s">
        <v>313</v>
      </c>
      <c r="S3" s="275" t="s">
        <v>3</v>
      </c>
      <c r="T3" s="275"/>
      <c r="U3" s="275" t="s">
        <v>314</v>
      </c>
      <c r="V3" s="77"/>
    </row>
    <row r="4" spans="1:32" ht="17.25">
      <c r="A4" s="534" t="s">
        <v>349</v>
      </c>
      <c r="B4" s="529" t="s">
        <v>186</v>
      </c>
      <c r="C4" s="44" t="s">
        <v>110</v>
      </c>
      <c r="D4" s="51"/>
      <c r="E4" s="54" t="s">
        <v>125</v>
      </c>
      <c r="F4" s="54" t="s">
        <v>125</v>
      </c>
      <c r="G4" s="81"/>
      <c r="H4" s="51"/>
      <c r="I4" s="2" t="s">
        <v>28</v>
      </c>
      <c r="J4" s="78">
        <v>4</v>
      </c>
      <c r="K4" s="2" t="s">
        <v>44</v>
      </c>
      <c r="M4" s="85" t="s">
        <v>165</v>
      </c>
      <c r="N4" s="3"/>
      <c r="O4" s="198" t="s">
        <v>6</v>
      </c>
      <c r="P4" s="86" t="s">
        <v>147</v>
      </c>
      <c r="R4" s="206" t="s">
        <v>315</v>
      </c>
      <c r="S4" s="527" t="s">
        <v>316</v>
      </c>
      <c r="T4" s="528">
        <v>1</v>
      </c>
      <c r="U4" s="527" t="s">
        <v>317</v>
      </c>
      <c r="V4" s="528">
        <v>4</v>
      </c>
    </row>
    <row r="5" spans="1:32" ht="17.25">
      <c r="A5" s="535" t="s">
        <v>349</v>
      </c>
      <c r="B5" s="42" t="s">
        <v>93</v>
      </c>
      <c r="C5" s="44" t="s">
        <v>101</v>
      </c>
      <c r="D5" s="51"/>
      <c r="E5" s="51"/>
      <c r="F5" s="51"/>
      <c r="G5" s="51"/>
      <c r="H5" s="51"/>
      <c r="I5" s="2" t="s">
        <v>11</v>
      </c>
      <c r="J5" s="78">
        <v>4</v>
      </c>
      <c r="K5" s="2" t="s">
        <v>53</v>
      </c>
      <c r="M5" s="87" t="s">
        <v>433</v>
      </c>
      <c r="N5" s="3"/>
      <c r="O5" s="199" t="s">
        <v>4</v>
      </c>
      <c r="P5" s="84" t="s">
        <v>148</v>
      </c>
      <c r="R5" s="207" t="s">
        <v>192</v>
      </c>
      <c r="S5" s="48" t="s">
        <v>318</v>
      </c>
      <c r="T5" s="47">
        <v>3</v>
      </c>
      <c r="U5" s="48" t="s">
        <v>319</v>
      </c>
      <c r="V5" s="47">
        <v>1</v>
      </c>
    </row>
    <row r="6" spans="1:32" ht="18.75">
      <c r="A6" s="51"/>
      <c r="B6" s="42" t="s">
        <v>94</v>
      </c>
      <c r="C6" s="45" t="s">
        <v>121</v>
      </c>
      <c r="D6" s="51"/>
      <c r="E6" s="51"/>
      <c r="F6" s="51"/>
      <c r="G6" s="51"/>
      <c r="H6" s="51"/>
      <c r="I6" s="2" t="s">
        <v>12</v>
      </c>
      <c r="J6" s="78">
        <v>5</v>
      </c>
      <c r="K6" s="2" t="s">
        <v>49</v>
      </c>
      <c r="M6" s="88" t="s">
        <v>17</v>
      </c>
      <c r="N6" s="3"/>
      <c r="O6" s="200" t="s">
        <v>232</v>
      </c>
      <c r="P6" s="86" t="s">
        <v>149</v>
      </c>
      <c r="R6" s="207" t="s">
        <v>193</v>
      </c>
      <c r="S6" s="48" t="s">
        <v>320</v>
      </c>
      <c r="T6" s="47">
        <v>4</v>
      </c>
      <c r="U6" s="48" t="s">
        <v>320</v>
      </c>
      <c r="V6" s="47">
        <v>2</v>
      </c>
    </row>
    <row r="7" spans="1:32" ht="18.75">
      <c r="A7" s="51"/>
      <c r="B7" s="42" t="s">
        <v>158</v>
      </c>
      <c r="C7" s="533" t="s">
        <v>349</v>
      </c>
      <c r="D7" s="51"/>
      <c r="E7" s="51"/>
      <c r="F7" s="51"/>
      <c r="G7" s="51"/>
      <c r="H7" s="51"/>
      <c r="I7" s="2" t="s">
        <v>33</v>
      </c>
      <c r="J7" s="78">
        <v>5</v>
      </c>
      <c r="K7" s="74" t="s">
        <v>54</v>
      </c>
      <c r="M7" s="627" t="s">
        <v>18</v>
      </c>
      <c r="N7" s="3"/>
      <c r="O7" s="201" t="s">
        <v>234</v>
      </c>
      <c r="P7" s="84" t="s">
        <v>20</v>
      </c>
      <c r="R7" s="526" t="s">
        <v>194</v>
      </c>
      <c r="S7" s="49" t="s">
        <v>321</v>
      </c>
      <c r="T7" s="50">
        <v>7</v>
      </c>
      <c r="U7" s="49" t="s">
        <v>321</v>
      </c>
      <c r="V7" s="50">
        <v>7</v>
      </c>
    </row>
    <row r="8" spans="1:32" ht="18.75">
      <c r="A8" s="51"/>
      <c r="B8" s="43" t="s">
        <v>109</v>
      </c>
      <c r="D8" s="51"/>
      <c r="F8" s="51"/>
      <c r="G8" s="51"/>
      <c r="H8" s="51"/>
      <c r="I8" s="2" t="s">
        <v>14</v>
      </c>
      <c r="J8" s="78">
        <v>6</v>
      </c>
      <c r="K8" s="2" t="s">
        <v>40</v>
      </c>
      <c r="L8" s="74"/>
      <c r="M8" s="628" t="s">
        <v>434</v>
      </c>
      <c r="N8" s="3"/>
      <c r="O8" s="202" t="s">
        <v>208</v>
      </c>
      <c r="P8" s="86" t="s">
        <v>210</v>
      </c>
      <c r="R8" s="207" t="s">
        <v>322</v>
      </c>
      <c r="S8" s="48" t="s">
        <v>323</v>
      </c>
      <c r="T8" s="47">
        <v>2</v>
      </c>
      <c r="U8" s="48" t="s">
        <v>324</v>
      </c>
      <c r="V8" s="47">
        <v>3</v>
      </c>
    </row>
    <row r="9" spans="1:32" ht="18.75">
      <c r="A9" s="51"/>
      <c r="D9" s="51"/>
      <c r="H9" s="51"/>
      <c r="I9" s="2" t="s">
        <v>13</v>
      </c>
      <c r="J9" s="78">
        <v>6</v>
      </c>
      <c r="K9" s="2" t="s">
        <v>45</v>
      </c>
      <c r="M9" s="629" t="s">
        <v>432</v>
      </c>
      <c r="N9" s="3"/>
      <c r="O9" s="203" t="s">
        <v>209</v>
      </c>
      <c r="P9" s="89" t="s">
        <v>233</v>
      </c>
      <c r="R9" s="207" t="s">
        <v>325</v>
      </c>
      <c r="S9" s="48" t="s">
        <v>326</v>
      </c>
      <c r="T9" s="47">
        <v>5</v>
      </c>
      <c r="U9" s="48" t="s">
        <v>326</v>
      </c>
      <c r="V9" s="47">
        <v>5</v>
      </c>
    </row>
    <row r="10" spans="1:32" ht="15.75">
      <c r="A10" s="36" t="str">
        <f>Intro!A33</f>
        <v>PFASen (Ver. 2.4) - 2025-10-09</v>
      </c>
      <c r="D10" s="51"/>
      <c r="E10" s="51"/>
      <c r="F10" s="51"/>
      <c r="H10" s="51"/>
      <c r="I10" s="2" t="s">
        <v>61</v>
      </c>
      <c r="J10" s="78">
        <v>6</v>
      </c>
      <c r="K10" s="2" t="s">
        <v>66</v>
      </c>
      <c r="R10" s="207" t="s">
        <v>327</v>
      </c>
      <c r="S10" s="48" t="s">
        <v>328</v>
      </c>
      <c r="T10" s="47">
        <v>6</v>
      </c>
      <c r="U10" s="48" t="s">
        <v>328</v>
      </c>
      <c r="V10" s="47">
        <v>6</v>
      </c>
    </row>
    <row r="11" spans="1:32">
      <c r="I11" s="2" t="s">
        <v>7</v>
      </c>
      <c r="J11" s="78">
        <v>7</v>
      </c>
      <c r="K11" s="2" t="s">
        <v>41</v>
      </c>
      <c r="R11" s="526" t="s">
        <v>329</v>
      </c>
      <c r="S11" s="49" t="s">
        <v>330</v>
      </c>
      <c r="T11" s="50">
        <v>8</v>
      </c>
      <c r="U11" s="49" t="s">
        <v>330</v>
      </c>
      <c r="V11" s="50">
        <v>8</v>
      </c>
    </row>
    <row r="12" spans="1:32" ht="15.75">
      <c r="A12" s="17"/>
      <c r="E12" s="51"/>
      <c r="I12" s="2" t="s">
        <v>31</v>
      </c>
      <c r="J12" s="78">
        <v>7</v>
      </c>
      <c r="K12" s="2" t="s">
        <v>51</v>
      </c>
    </row>
    <row r="13" spans="1:32">
      <c r="E13" s="140" t="s">
        <v>1</v>
      </c>
      <c r="F13" s="141" t="e">
        <f>Følsomhedsanalyse!H8</f>
        <v>#N/A</v>
      </c>
      <c r="I13" s="2" t="s">
        <v>30</v>
      </c>
      <c r="J13" s="78">
        <v>8</v>
      </c>
      <c r="K13" s="2" t="s">
        <v>48</v>
      </c>
    </row>
    <row r="14" spans="1:32">
      <c r="E14" s="139" t="s">
        <v>191</v>
      </c>
      <c r="F14" s="139" t="s">
        <v>188</v>
      </c>
      <c r="I14" s="2" t="s">
        <v>15</v>
      </c>
      <c r="J14" s="78">
        <v>8</v>
      </c>
      <c r="K14" s="2" t="s">
        <v>42</v>
      </c>
    </row>
    <row r="15" spans="1:32">
      <c r="E15" s="142" t="s">
        <v>308</v>
      </c>
      <c r="F15" s="142" t="s">
        <v>307</v>
      </c>
      <c r="I15" s="2" t="s">
        <v>0</v>
      </c>
      <c r="J15" s="78">
        <v>8</v>
      </c>
      <c r="K15" s="2" t="s">
        <v>46</v>
      </c>
    </row>
    <row r="16" spans="1:32">
      <c r="E16" s="143" t="e">
        <f>IF(Jordtype!K7&gt;1,"",IF(OR(F13=2,F13=6,F13=7),1051.8*Jordtype!K7^2-2305.9*Jordtype!K7+1254.4,""))</f>
        <v>#N/A</v>
      </c>
      <c r="F16" s="143" t="e">
        <f>IF(Jordtype!K7&gt;1,"",IF(OR(F13=4,F13=5),1778.3*Jordtype!K7^2-3899.3*Jordtype!K7+2121.1,""))</f>
        <v>#N/A</v>
      </c>
      <c r="H16" s="30"/>
      <c r="I16" s="2" t="s">
        <v>34</v>
      </c>
      <c r="J16" s="78">
        <v>9</v>
      </c>
      <c r="K16" s="2" t="s">
        <v>55</v>
      </c>
    </row>
    <row r="17" spans="1:12">
      <c r="I17" s="2" t="s">
        <v>27</v>
      </c>
      <c r="J17" s="78">
        <v>9</v>
      </c>
      <c r="K17" s="2" t="s">
        <v>43</v>
      </c>
    </row>
    <row r="18" spans="1:12">
      <c r="I18" s="2" t="s">
        <v>29</v>
      </c>
      <c r="J18" s="78">
        <v>10</v>
      </c>
      <c r="K18" s="2" t="s">
        <v>47</v>
      </c>
    </row>
    <row r="19" spans="1:12">
      <c r="I19" s="2" t="s">
        <v>32</v>
      </c>
      <c r="J19" s="78">
        <v>10</v>
      </c>
      <c r="K19" s="2" t="s">
        <v>52</v>
      </c>
    </row>
    <row r="20" spans="1:12">
      <c r="I20" s="2" t="s">
        <v>35</v>
      </c>
      <c r="J20" s="78">
        <v>11</v>
      </c>
      <c r="K20" s="2" t="s">
        <v>56</v>
      </c>
    </row>
    <row r="21" spans="1:12">
      <c r="I21" s="2" t="s">
        <v>37</v>
      </c>
      <c r="J21" s="78">
        <v>11</v>
      </c>
      <c r="K21" s="2" t="s">
        <v>58</v>
      </c>
    </row>
    <row r="22" spans="1:12">
      <c r="I22" s="2" t="s">
        <v>38</v>
      </c>
      <c r="J22" s="78">
        <v>12</v>
      </c>
      <c r="K22" s="2" t="s">
        <v>59</v>
      </c>
    </row>
    <row r="23" spans="1:12">
      <c r="I23" s="2" t="s">
        <v>36</v>
      </c>
      <c r="J23" s="78">
        <v>12</v>
      </c>
      <c r="K23" s="2" t="s">
        <v>57</v>
      </c>
    </row>
    <row r="24" spans="1:12">
      <c r="I24" s="7" t="s">
        <v>39</v>
      </c>
      <c r="J24" s="79">
        <v>13</v>
      </c>
      <c r="K24" s="7" t="s">
        <v>60</v>
      </c>
    </row>
    <row r="25" spans="1:12">
      <c r="I25" s="2" t="s">
        <v>406</v>
      </c>
      <c r="K25" s="30" t="s">
        <v>26</v>
      </c>
    </row>
    <row r="26" spans="1:12">
      <c r="I26" s="7" t="s">
        <v>407</v>
      </c>
      <c r="J26" s="7"/>
      <c r="K26" s="90" t="s">
        <v>25</v>
      </c>
      <c r="L26" s="30"/>
    </row>
    <row r="27" spans="1:12">
      <c r="L27" s="30"/>
    </row>
    <row r="32" spans="1:12">
      <c r="A32" s="17"/>
    </row>
    <row r="50" spans="1:1">
      <c r="A50" s="17"/>
    </row>
    <row r="51" spans="1:1">
      <c r="A51" s="73"/>
    </row>
  </sheetData>
  <sheetProtection algorithmName="SHA-512" hashValue="F9R3SVrB+byTzm9I6+ek7hBAauQ5kOrVps/EkrAl6qXJs3iPoRTlMOmD9KZ183j5BfdPkslJvkCuiG5CMMWFFA==" saltValue="BDVHw74zeOYjRb9hCPVxTA==" spinCount="100000" sheet="1" objects="1" scenarios="1" selectLockedCells="1" selectUnlockedCells="1"/>
  <mergeCells count="1">
    <mergeCell ref="S2:U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F87E-5C2C-4759-B3A6-2EB3324976DF}">
  <sheetPr codeName="Ark2">
    <tabColor rgb="FF193C65"/>
  </sheetPr>
  <dimension ref="A1:AP53"/>
  <sheetViews>
    <sheetView zoomScaleNormal="100" zoomScaleSheetLayoutView="100" workbookViewId="0">
      <selection activeCell="B40" sqref="B40:D40"/>
    </sheetView>
  </sheetViews>
  <sheetFormatPr defaultRowHeight="15" outlineLevelCol="1"/>
  <cols>
    <col min="1" max="1" width="26.140625" style="616" customWidth="1"/>
    <col min="2" max="2" width="12" style="616" bestFit="1" customWidth="1"/>
    <col min="3" max="3" width="11.42578125" style="616" customWidth="1"/>
    <col min="4" max="4" width="17.28515625" style="616" bestFit="1" customWidth="1"/>
    <col min="5" max="5" width="5" style="616" hidden="1" customWidth="1"/>
    <col min="6" max="6" width="3" style="616" customWidth="1"/>
    <col min="7" max="7" width="18.5703125" style="616" customWidth="1"/>
    <col min="8" max="8" width="5" style="616" hidden="1" customWidth="1"/>
    <col min="9" max="9" width="3" style="616" hidden="1" customWidth="1" outlineLevel="1"/>
    <col min="10" max="10" width="8.7109375" style="616" hidden="1" customWidth="1" outlineLevel="1"/>
    <col min="11" max="11" width="8.42578125" style="616" hidden="1" customWidth="1" outlineLevel="1"/>
    <col min="12" max="12" width="3" style="616" customWidth="1" collapsed="1"/>
    <col min="13" max="13" width="11.7109375" style="616" customWidth="1"/>
    <col min="14" max="14" width="10.5703125" style="616" customWidth="1"/>
    <col min="15" max="15" width="10.28515625" style="616" customWidth="1"/>
    <col min="16" max="16" width="4.42578125" style="616" customWidth="1"/>
    <col min="17" max="19" width="10.28515625" style="616" customWidth="1"/>
    <col min="20" max="20" width="4.140625" style="616" customWidth="1"/>
    <col min="21" max="21" width="8" style="616" customWidth="1"/>
    <col min="22" max="16384" width="9.140625" style="616"/>
  </cols>
  <sheetData>
    <row r="1" spans="1:42" ht="21">
      <c r="A1" s="280" t="s">
        <v>166</v>
      </c>
      <c r="B1" s="281"/>
      <c r="C1" s="281"/>
      <c r="D1" s="282" t="s">
        <v>140</v>
      </c>
      <c r="E1" s="281"/>
      <c r="F1" s="283"/>
      <c r="G1" s="284" t="s">
        <v>140</v>
      </c>
      <c r="H1" s="281"/>
      <c r="I1" s="283"/>
      <c r="J1" s="664" t="s">
        <v>136</v>
      </c>
      <c r="K1" s="664"/>
      <c r="L1" s="283"/>
      <c r="M1" s="662" t="s">
        <v>310</v>
      </c>
      <c r="N1" s="663"/>
      <c r="O1" s="663"/>
    </row>
    <row r="2" spans="1:42" ht="20.25" customHeight="1">
      <c r="A2" s="285"/>
      <c r="B2" s="285"/>
      <c r="C2" s="285"/>
      <c r="D2" s="286" t="s">
        <v>141</v>
      </c>
      <c r="E2" s="285"/>
      <c r="F2" s="283"/>
      <c r="G2" s="287" t="s">
        <v>139</v>
      </c>
      <c r="H2" s="285"/>
      <c r="I2" s="283"/>
      <c r="J2" s="664" t="s">
        <v>137</v>
      </c>
      <c r="K2" s="664"/>
      <c r="L2" s="283"/>
      <c r="M2" s="663"/>
      <c r="N2" s="663"/>
      <c r="O2" s="663"/>
    </row>
    <row r="3" spans="1:42" ht="18">
      <c r="A3" s="2"/>
      <c r="B3" s="8" t="s">
        <v>112</v>
      </c>
      <c r="C3" s="2"/>
      <c r="D3" s="288" t="s">
        <v>142</v>
      </c>
      <c r="E3" s="2"/>
      <c r="F3" s="283"/>
      <c r="G3" s="289" t="s">
        <v>143</v>
      </c>
      <c r="H3" s="2"/>
      <c r="I3" s="283"/>
      <c r="J3" s="2"/>
      <c r="K3" s="2"/>
      <c r="L3" s="283"/>
      <c r="M3" s="8"/>
      <c r="N3" s="288" t="s">
        <v>144</v>
      </c>
      <c r="O3" s="538" t="s">
        <v>145</v>
      </c>
      <c r="U3" s="617"/>
      <c r="V3" s="617"/>
      <c r="W3" s="617"/>
    </row>
    <row r="4" spans="1:42">
      <c r="A4" s="7" t="s">
        <v>138</v>
      </c>
      <c r="B4" s="77" t="s">
        <v>62</v>
      </c>
      <c r="C4" s="7" t="s">
        <v>65</v>
      </c>
      <c r="D4" s="290" t="s">
        <v>9</v>
      </c>
      <c r="E4" s="291"/>
      <c r="F4" s="292"/>
      <c r="G4" s="293" t="s">
        <v>197</v>
      </c>
      <c r="H4" s="291"/>
      <c r="I4" s="292"/>
      <c r="J4" s="294" t="s">
        <v>3</v>
      </c>
      <c r="K4" s="294" t="s">
        <v>2</v>
      </c>
      <c r="L4" s="292"/>
      <c r="M4" s="539" t="s">
        <v>65</v>
      </c>
      <c r="N4" s="540" t="s">
        <v>9</v>
      </c>
      <c r="O4" s="541" t="s">
        <v>197</v>
      </c>
      <c r="X4" s="617"/>
      <c r="Y4" s="617"/>
      <c r="Z4" s="617"/>
      <c r="AA4" s="617"/>
      <c r="AB4" s="618"/>
      <c r="AC4" s="618"/>
      <c r="AD4" s="618"/>
      <c r="AE4" s="618"/>
      <c r="AF4" s="618"/>
      <c r="AG4" s="618"/>
      <c r="AH4" s="618"/>
      <c r="AI4" s="618"/>
      <c r="AJ4" s="618"/>
      <c r="AK4" s="618"/>
      <c r="AL4" s="618"/>
      <c r="AM4" s="618"/>
      <c r="AN4" s="618"/>
      <c r="AO4" s="618"/>
    </row>
    <row r="5" spans="1:42">
      <c r="A5" s="2" t="str">
        <f>VLOOKUP(C5,'Rullelister mm.'!$I$2:$K$26,3,FALSE)</f>
        <v>Perfluorbutansyre</v>
      </c>
      <c r="B5" s="78">
        <f>VLOOKUP(C5,'Rullelister mm.'!$I$2:$K$26,2,FALSE)</f>
        <v>3</v>
      </c>
      <c r="C5" s="74" t="s">
        <v>10</v>
      </c>
      <c r="D5" s="75"/>
      <c r="E5" s="74"/>
      <c r="F5" s="292"/>
      <c r="G5" s="75"/>
      <c r="H5" s="74"/>
      <c r="I5" s="292"/>
      <c r="J5" s="295" t="str">
        <f t="shared" ref="J5:J26" si="0">IF(D5="","",IFERROR(D5*1,D5))</f>
        <v/>
      </c>
      <c r="K5" s="295" t="str">
        <f t="shared" ref="K5:K26" si="1">IF(J5&lt;&gt;"","",IF(G5="","",IFERROR(G5*1,G5)))</f>
        <v/>
      </c>
      <c r="L5" s="292"/>
      <c r="M5" s="2" t="str">
        <f>C5</f>
        <v>PFBA</v>
      </c>
      <c r="N5" s="542" t="str">
        <f>IF(ISNUMBER(Følsomhedsanalyse!F20),ROUND(Følsomhedsanalyse!F20,-INT(LOG10(ABS(Følsomhedsanalyse!F20)))+'Analyser og resultater'!$N$35-1),"")</f>
        <v/>
      </c>
      <c r="O5" s="542" t="str">
        <f>IF(ISNUMBER(Følsomhedsanalyse!F21),ROUND(Følsomhedsanalyse!F21,-INT(LOG10(ABS(Følsomhedsanalyse!F21)))+'Analyser og resultater'!$N$35-1)*1000,"")</f>
        <v/>
      </c>
      <c r="AP5" s="619" t="str">
        <f>IF(ISNUMBER(Følsomhedsanalyse!AD21),ROUND(Følsomhedsanalyse!AD21,-INT(LOG10(ABS(Følsomhedsanalyse!AD21)))+'Analyser og resultater'!$N$35-1)*1000,"")</f>
        <v/>
      </c>
    </row>
    <row r="6" spans="1:42">
      <c r="A6" s="2" t="str">
        <f>VLOOKUP(C6,'Rullelister mm.'!$I$2:$K$26,3,FALSE)</f>
        <v>Perfluorbutansulfonsyre</v>
      </c>
      <c r="B6" s="78">
        <f>VLOOKUP(C6,'Rullelister mm.'!$I$2:$K$26,2,FALSE)</f>
        <v>4</v>
      </c>
      <c r="C6" s="74" t="s">
        <v>28</v>
      </c>
      <c r="D6" s="75"/>
      <c r="E6" s="74"/>
      <c r="F6" s="292"/>
      <c r="G6" s="75"/>
      <c r="H6" s="74"/>
      <c r="I6" s="292"/>
      <c r="J6" s="295" t="str">
        <f t="shared" si="0"/>
        <v/>
      </c>
      <c r="K6" s="295" t="str">
        <f t="shared" si="1"/>
        <v/>
      </c>
      <c r="L6" s="292"/>
      <c r="M6" s="2" t="str">
        <f>C6</f>
        <v>PFBS</v>
      </c>
      <c r="N6" s="543" t="str">
        <f>IF(ISNUMBER(Følsomhedsanalyse!G20),ROUND(Følsomhedsanalyse!G20,-INT(LOG10(ABS(Følsomhedsanalyse!G20)))+'Analyser og resultater'!$N$35-1),"")</f>
        <v/>
      </c>
      <c r="O6" s="543" t="str">
        <f>IF(ISNUMBER(Følsomhedsanalyse!G21),ROUND(Følsomhedsanalyse!G21,-INT(LOG10(ABS(Følsomhedsanalyse!G21)))+'Analyser og resultater'!$N$35-1)*1000,"")</f>
        <v/>
      </c>
    </row>
    <row r="7" spans="1:42">
      <c r="A7" s="2" t="str">
        <f>VLOOKUP(C7,'Rullelister mm.'!$I$2:$K$26,3,FALSE)</f>
        <v>Perfluorpentansyre</v>
      </c>
      <c r="B7" s="78">
        <f>VLOOKUP(C7,'Rullelister mm.'!$I$2:$K$26,2,FALSE)</f>
        <v>4</v>
      </c>
      <c r="C7" s="74" t="s">
        <v>11</v>
      </c>
      <c r="D7" s="75"/>
      <c r="E7" s="74"/>
      <c r="F7" s="292"/>
      <c r="G7" s="75"/>
      <c r="H7" s="74"/>
      <c r="I7" s="292"/>
      <c r="J7" s="295" t="str">
        <f t="shared" si="0"/>
        <v/>
      </c>
      <c r="K7" s="295" t="str">
        <f t="shared" si="1"/>
        <v/>
      </c>
      <c r="L7" s="292"/>
      <c r="M7" s="2" t="str">
        <f>C7</f>
        <v>PFPeA</v>
      </c>
      <c r="N7" s="543" t="str">
        <f>IF(ISNUMBER(Følsomhedsanalyse!H20),ROUND(Følsomhedsanalyse!H20,-INT(LOG10(ABS(Følsomhedsanalyse!H20)))+'Analyser og resultater'!$N$35-1),"")</f>
        <v/>
      </c>
      <c r="O7" s="543" t="str">
        <f>IF(ISNUMBER(Følsomhedsanalyse!H21),ROUND(Følsomhedsanalyse!H21,-INT(LOG10(ABS(Følsomhedsanalyse!H21)))+'Analyser og resultater'!$N$35-1)*1000,"")</f>
        <v/>
      </c>
      <c r="AA7" s="620"/>
    </row>
    <row r="8" spans="1:42" ht="15" customHeight="1">
      <c r="A8" s="2" t="str">
        <f>VLOOKUP(C8,'Rullelister mm.'!$I$2:$K$26,3,FALSE)</f>
        <v>Perfluorhexansyre</v>
      </c>
      <c r="B8" s="78">
        <f>VLOOKUP(C8,'Rullelister mm.'!$I$2:$K$26,2,FALSE)</f>
        <v>5</v>
      </c>
      <c r="C8" s="74" t="s">
        <v>12</v>
      </c>
      <c r="D8" s="75"/>
      <c r="E8" s="74"/>
      <c r="F8" s="292"/>
      <c r="G8" s="75"/>
      <c r="H8" s="74"/>
      <c r="I8" s="292"/>
      <c r="J8" s="295" t="str">
        <f t="shared" si="0"/>
        <v/>
      </c>
      <c r="K8" s="295" t="str">
        <f t="shared" si="1"/>
        <v/>
      </c>
      <c r="L8" s="292"/>
      <c r="M8" s="2" t="str">
        <f>C8</f>
        <v>PFHxA</v>
      </c>
      <c r="N8" s="543" t="str">
        <f>IF(ISNUMBER(Følsomhedsanalyse!I20),ROUND(Følsomhedsanalyse!I20,-INT(LOG10(ABS(Følsomhedsanalyse!I20)))+'Analyser og resultater'!$N$35-1),"")</f>
        <v/>
      </c>
      <c r="O8" s="543" t="str">
        <f>IF(ISNUMBER(Følsomhedsanalyse!I21),ROUND(Følsomhedsanalyse!I21,-INT(LOG10(ABS(Følsomhedsanalyse!I21)))+'Analyser og resultater'!$N$35-1)*1000,"")</f>
        <v/>
      </c>
      <c r="AA8" s="620"/>
    </row>
    <row r="9" spans="1:42" ht="15" customHeight="1">
      <c r="A9" s="2" t="str">
        <f>VLOOKUP(C9,'Rullelister mm.'!$I$2:$K$26,3,FALSE)</f>
        <v>Perfluorpentansulfonsyre</v>
      </c>
      <c r="B9" s="78">
        <f>VLOOKUP(C9,'Rullelister mm.'!$I$2:$K$26,2,FALSE)</f>
        <v>5</v>
      </c>
      <c r="C9" s="74" t="s">
        <v>33</v>
      </c>
      <c r="D9" s="75"/>
      <c r="E9" s="74"/>
      <c r="F9" s="292"/>
      <c r="G9" s="75"/>
      <c r="H9" s="74"/>
      <c r="I9" s="292"/>
      <c r="J9" s="295" t="str">
        <f t="shared" si="0"/>
        <v/>
      </c>
      <c r="K9" s="295" t="str">
        <f t="shared" si="1"/>
        <v/>
      </c>
      <c r="L9" s="292"/>
      <c r="M9" s="2" t="str">
        <f>C9</f>
        <v>PFPeS</v>
      </c>
      <c r="N9" s="543" t="str">
        <f>IF(ISNUMBER(Følsomhedsanalyse!J20),ROUND(Følsomhedsanalyse!J20,-INT(LOG10(ABS(Følsomhedsanalyse!J20)))+'Analyser og resultater'!$N$35-1),"")</f>
        <v/>
      </c>
      <c r="O9" s="543" t="str">
        <f>IF(ISNUMBER(Følsomhedsanalyse!J21),ROUND(Følsomhedsanalyse!J21,-INT(LOG10(ABS(Følsomhedsanalyse!J21)))+'Analyser og resultater'!$N$35-1)*1000,"")</f>
        <v/>
      </c>
      <c r="AA9" s="620"/>
    </row>
    <row r="10" spans="1:42">
      <c r="A10" s="2" t="str">
        <f>VLOOKUP(C10,'Rullelister mm.'!$I$2:$K$26,3,FALSE)</f>
        <v>Perfluorheptansyre</v>
      </c>
      <c r="B10" s="78">
        <f>VLOOKUP(C10,'Rullelister mm.'!$I$2:$K$26,2,FALSE)</f>
        <v>6</v>
      </c>
      <c r="C10" s="74" t="s">
        <v>14</v>
      </c>
      <c r="D10" s="75"/>
      <c r="E10" s="74"/>
      <c r="F10" s="292"/>
      <c r="G10" s="75"/>
      <c r="H10" s="74"/>
      <c r="I10" s="292"/>
      <c r="J10" s="295" t="str">
        <f t="shared" si="0"/>
        <v/>
      </c>
      <c r="K10" s="295" t="str">
        <f t="shared" si="1"/>
        <v/>
      </c>
      <c r="L10" s="292"/>
      <c r="M10" s="2" t="str">
        <f t="shared" ref="M10:M28" si="2">C10</f>
        <v>PFHpA</v>
      </c>
      <c r="N10" s="543" t="str">
        <f>IF(ISNUMBER(Følsomhedsanalyse!K20),ROUND(Følsomhedsanalyse!K20,-INT(LOG10(ABS(Følsomhedsanalyse!K20)))+'Analyser og resultater'!$N$35-1),"")</f>
        <v/>
      </c>
      <c r="O10" s="543" t="str">
        <f>IF(ISNUMBER(Følsomhedsanalyse!K21),ROUND(Følsomhedsanalyse!K21,-INT(LOG10(ABS(Følsomhedsanalyse!K21)))+'Analyser og resultater'!$N$35-1)*1000,"")</f>
        <v/>
      </c>
      <c r="U10" s="620"/>
      <c r="V10" s="620"/>
      <c r="W10" s="620"/>
      <c r="X10" s="620"/>
      <c r="Y10" s="620"/>
      <c r="Z10" s="620"/>
      <c r="AA10" s="620"/>
    </row>
    <row r="11" spans="1:42">
      <c r="A11" s="37" t="str">
        <f>VLOOKUP(C11,'Rullelister mm.'!$I$2:$K$26,3,FALSE)</f>
        <v>Perfluorhexansulfonsyre</v>
      </c>
      <c r="B11" s="296">
        <f>VLOOKUP(C11,'Rullelister mm.'!$I$2:$K$26,2,FALSE)</f>
        <v>6</v>
      </c>
      <c r="C11" s="297" t="s">
        <v>13</v>
      </c>
      <c r="D11" s="195"/>
      <c r="E11" s="297"/>
      <c r="F11" s="298"/>
      <c r="G11" s="195"/>
      <c r="H11" s="297"/>
      <c r="I11" s="298"/>
      <c r="J11" s="299" t="str">
        <f t="shared" si="0"/>
        <v/>
      </c>
      <c r="K11" s="299" t="str">
        <f t="shared" si="1"/>
        <v/>
      </c>
      <c r="L11" s="298"/>
      <c r="M11" s="37" t="str">
        <f t="shared" si="2"/>
        <v>PFHxS</v>
      </c>
      <c r="N11" s="544" t="str">
        <f>IF(ISNUMBER(Følsomhedsanalyse!L20),ROUND(Følsomhedsanalyse!L20,-INT(LOG10(ABS(Følsomhedsanalyse!L20)))+'Analyser og resultater'!$N$35-1),"")</f>
        <v/>
      </c>
      <c r="O11" s="544" t="str">
        <f>IF(ISNUMBER(Følsomhedsanalyse!L21),ROUND(Følsomhedsanalyse!L21,-INT(LOG10(ABS(Følsomhedsanalyse!L21)))+'Analyser og resultater'!$N$35-1)*1000,"")</f>
        <v/>
      </c>
      <c r="U11" s="620"/>
      <c r="V11" s="620"/>
      <c r="W11" s="620"/>
      <c r="X11" s="620"/>
      <c r="Y11" s="620"/>
      <c r="Z11" s="620"/>
      <c r="AA11" s="620"/>
    </row>
    <row r="12" spans="1:42">
      <c r="A12" s="2" t="str">
        <f>VLOOKUP(C12,'Rullelister mm.'!$I$2:$K$26,3,FALSE)</f>
        <v>6:2 fluortelomersulfonsyre</v>
      </c>
      <c r="B12" s="78">
        <f>VLOOKUP(C12,'Rullelister mm.'!$I$2:$K$26,2,FALSE)</f>
        <v>6</v>
      </c>
      <c r="C12" s="74" t="s">
        <v>61</v>
      </c>
      <c r="D12" s="75"/>
      <c r="E12" s="74"/>
      <c r="F12" s="292"/>
      <c r="G12" s="75"/>
      <c r="H12" s="74"/>
      <c r="I12" s="292"/>
      <c r="J12" s="295" t="str">
        <f t="shared" si="0"/>
        <v/>
      </c>
      <c r="K12" s="295" t="str">
        <f t="shared" si="1"/>
        <v/>
      </c>
      <c r="L12" s="292"/>
      <c r="M12" s="2" t="str">
        <f t="shared" si="2"/>
        <v>6:2 FTS</v>
      </c>
      <c r="N12" s="543" t="str">
        <f>IF(ISNUMBER(Følsomhedsanalyse!M20),ROUND(Følsomhedsanalyse!M20,-INT(LOG10(ABS(Følsomhedsanalyse!M20)))+'Analyser og resultater'!$N$35-1),"")</f>
        <v/>
      </c>
      <c r="O12" s="543" t="str">
        <f>IF(ISNUMBER(Følsomhedsanalyse!M21),ROUND(Følsomhedsanalyse!M21,-INT(LOG10(ABS(Følsomhedsanalyse!M21)))+'Analyser og resultater'!$N$35-1)*1000,"")</f>
        <v/>
      </c>
      <c r="U12" s="620"/>
      <c r="V12" s="620"/>
      <c r="W12" s="620"/>
      <c r="X12" s="620"/>
      <c r="Y12" s="620"/>
      <c r="Z12" s="620"/>
      <c r="AA12" s="620"/>
    </row>
    <row r="13" spans="1:42">
      <c r="A13" s="37" t="str">
        <f>VLOOKUP(C13,'Rullelister mm.'!$I$2:$K$26,3,FALSE)</f>
        <v>Perfluoroctansyre</v>
      </c>
      <c r="B13" s="296">
        <f>VLOOKUP(C13,'Rullelister mm.'!$I$2:$K$26,2,FALSE)</f>
        <v>7</v>
      </c>
      <c r="C13" s="297" t="s">
        <v>7</v>
      </c>
      <c r="D13" s="195"/>
      <c r="E13" s="297"/>
      <c r="F13" s="298"/>
      <c r="G13" s="195"/>
      <c r="H13" s="297"/>
      <c r="I13" s="298"/>
      <c r="J13" s="299" t="str">
        <f t="shared" si="0"/>
        <v/>
      </c>
      <c r="K13" s="299" t="str">
        <f t="shared" si="1"/>
        <v/>
      </c>
      <c r="L13" s="298"/>
      <c r="M13" s="37" t="str">
        <f t="shared" si="2"/>
        <v>PFOA</v>
      </c>
      <c r="N13" s="544" t="str">
        <f>IF(ISNUMBER(Følsomhedsanalyse!N20),ROUND(Følsomhedsanalyse!N20,-INT(LOG10(ABS(Følsomhedsanalyse!N20)))+'Analyser og resultater'!$N$35-1),"")</f>
        <v/>
      </c>
      <c r="O13" s="544" t="str">
        <f>IF(ISNUMBER(Følsomhedsanalyse!N21),ROUND(Følsomhedsanalyse!N21,-INT(LOG10(ABS(Følsomhedsanalyse!N21)))+'Analyser og resultater'!$N$35-1)*1000,"")</f>
        <v/>
      </c>
      <c r="U13" s="620"/>
      <c r="V13" s="620"/>
      <c r="W13" s="620"/>
      <c r="X13" s="620"/>
      <c r="Y13" s="620"/>
      <c r="Z13" s="620"/>
      <c r="AA13" s="620"/>
    </row>
    <row r="14" spans="1:42">
      <c r="A14" s="2" t="str">
        <f>VLOOKUP(C14,'Rullelister mm.'!$I$2:$K$26,3,FALSE)</f>
        <v>Perfluorheptansulfonsyre</v>
      </c>
      <c r="B14" s="78">
        <f>VLOOKUP(C14,'Rullelister mm.'!$I$2:$K$26,2,FALSE)</f>
        <v>7</v>
      </c>
      <c r="C14" s="74" t="s">
        <v>31</v>
      </c>
      <c r="D14" s="75"/>
      <c r="E14" s="74"/>
      <c r="F14" s="292"/>
      <c r="G14" s="75"/>
      <c r="H14" s="74"/>
      <c r="I14" s="292"/>
      <c r="J14" s="295" t="str">
        <f t="shared" si="0"/>
        <v/>
      </c>
      <c r="K14" s="295" t="str">
        <f t="shared" si="1"/>
        <v/>
      </c>
      <c r="L14" s="292"/>
      <c r="M14" s="2" t="str">
        <f t="shared" si="2"/>
        <v>PFHpS</v>
      </c>
      <c r="N14" s="543" t="str">
        <f>IF(ISNUMBER(Følsomhedsanalyse!O20),ROUND(Følsomhedsanalyse!O20,-INT(LOG10(ABS(Følsomhedsanalyse!O20)))+'Analyser og resultater'!$N$35-1),"")</f>
        <v/>
      </c>
      <c r="O14" s="543" t="str">
        <f>IF(ISNUMBER(Følsomhedsanalyse!O21),ROUND(Følsomhedsanalyse!O21,-INT(LOG10(ABS(Følsomhedsanalyse!O21)))+'Analyser og resultater'!$N$35-1)*1000,"")</f>
        <v/>
      </c>
      <c r="U14" s="620"/>
      <c r="V14" s="620"/>
      <c r="W14" s="620"/>
      <c r="X14" s="620"/>
      <c r="Y14" s="620"/>
      <c r="Z14" s="620"/>
      <c r="AA14" s="620"/>
    </row>
    <row r="15" spans="1:42">
      <c r="A15" s="2" t="str">
        <f>VLOOKUP(C15,'Rullelister mm.'!$I$2:$K$26,3,FALSE)</f>
        <v>Perfluoroctansulfonamid</v>
      </c>
      <c r="B15" s="78">
        <f>VLOOKUP(C15,'Rullelister mm.'!$I$2:$K$26,2,FALSE)</f>
        <v>8</v>
      </c>
      <c r="C15" s="74" t="s">
        <v>30</v>
      </c>
      <c r="D15" s="75"/>
      <c r="E15" s="74"/>
      <c r="F15" s="292"/>
      <c r="G15" s="75"/>
      <c r="H15" s="74"/>
      <c r="I15" s="292"/>
      <c r="J15" s="295" t="str">
        <f t="shared" si="0"/>
        <v/>
      </c>
      <c r="K15" s="295" t="str">
        <f t="shared" si="1"/>
        <v/>
      </c>
      <c r="L15" s="292"/>
      <c r="M15" s="2" t="str">
        <f t="shared" si="2"/>
        <v>PFOSA</v>
      </c>
      <c r="N15" s="543" t="str">
        <f>IF(ISNUMBER(Følsomhedsanalyse!P20),ROUND(Følsomhedsanalyse!P20,-INT(LOG10(ABS(Følsomhedsanalyse!P20)))+'Analyser og resultater'!$N$35-1),"")</f>
        <v/>
      </c>
      <c r="O15" s="543" t="str">
        <f>IF(ISNUMBER(Følsomhedsanalyse!P21),ROUND(Følsomhedsanalyse!P21,-INT(LOG10(ABS(Følsomhedsanalyse!P21)))+'Analyser og resultater'!$N$35-1)*1000,"")</f>
        <v/>
      </c>
      <c r="U15" s="620"/>
      <c r="V15" s="620"/>
      <c r="W15" s="620"/>
      <c r="X15" s="620"/>
      <c r="Y15" s="620"/>
      <c r="Z15" s="620"/>
      <c r="AA15" s="620"/>
    </row>
    <row r="16" spans="1:42">
      <c r="A16" s="37" t="str">
        <f>VLOOKUP(C16,'Rullelister mm.'!$I$2:$K$26,3,FALSE)</f>
        <v>Perfluornonansyre</v>
      </c>
      <c r="B16" s="296">
        <f>VLOOKUP(C16,'Rullelister mm.'!$I$2:$K$26,2,FALSE)</f>
        <v>8</v>
      </c>
      <c r="C16" s="297" t="s">
        <v>15</v>
      </c>
      <c r="D16" s="195"/>
      <c r="E16" s="297"/>
      <c r="F16" s="298"/>
      <c r="G16" s="195"/>
      <c r="H16" s="297"/>
      <c r="I16" s="298"/>
      <c r="J16" s="299" t="str">
        <f t="shared" si="0"/>
        <v/>
      </c>
      <c r="K16" s="299" t="str">
        <f t="shared" si="1"/>
        <v/>
      </c>
      <c r="L16" s="298"/>
      <c r="M16" s="37" t="str">
        <f t="shared" si="2"/>
        <v>PFNA</v>
      </c>
      <c r="N16" s="544" t="str">
        <f>IF(ISNUMBER(Følsomhedsanalyse!Q20),ROUND(Følsomhedsanalyse!Q20,-INT(LOG10(ABS(Følsomhedsanalyse!Q20)))+'Analyser og resultater'!$N$35-1),"")</f>
        <v/>
      </c>
      <c r="O16" s="544" t="str">
        <f>IF(ISNUMBER(Følsomhedsanalyse!Q21),ROUND(Følsomhedsanalyse!Q21,-INT(LOG10(ABS(Følsomhedsanalyse!Q21)))+'Analyser og resultater'!$N$35-1)*1000,"")</f>
        <v/>
      </c>
      <c r="U16" s="620"/>
      <c r="V16" s="620"/>
      <c r="W16" s="620"/>
      <c r="X16" s="620"/>
      <c r="Y16" s="620"/>
      <c r="Z16" s="620"/>
      <c r="AA16" s="620"/>
    </row>
    <row r="17" spans="1:27">
      <c r="A17" s="37" t="str">
        <f>VLOOKUP(C17,'Rullelister mm.'!$I$2:$K$26,3,FALSE)</f>
        <v>Perfluoroctansulfonsyre</v>
      </c>
      <c r="B17" s="296">
        <f>VLOOKUP(C17,'Rullelister mm.'!$I$2:$K$26,2,FALSE)</f>
        <v>8</v>
      </c>
      <c r="C17" s="297" t="s">
        <v>0</v>
      </c>
      <c r="D17" s="195"/>
      <c r="E17" s="297"/>
      <c r="F17" s="298"/>
      <c r="G17" s="195"/>
      <c r="H17" s="297"/>
      <c r="I17" s="298"/>
      <c r="J17" s="299" t="str">
        <f t="shared" si="0"/>
        <v/>
      </c>
      <c r="K17" s="299" t="str">
        <f t="shared" si="1"/>
        <v/>
      </c>
      <c r="L17" s="298"/>
      <c r="M17" s="37" t="str">
        <f t="shared" si="2"/>
        <v>PFOS</v>
      </c>
      <c r="N17" s="544" t="str">
        <f>IF(ISNUMBER(Følsomhedsanalyse!R20),ROUND(Følsomhedsanalyse!R20,-INT(LOG10(ABS(Følsomhedsanalyse!R20)))+'Analyser og resultater'!$N$35-1),"")</f>
        <v/>
      </c>
      <c r="O17" s="544" t="str">
        <f>IF(ISNUMBER(Følsomhedsanalyse!R21),ROUND(Følsomhedsanalyse!R21,-INT(LOG10(ABS(Følsomhedsanalyse!R21)))+'Analyser og resultater'!$N$35-1)*1000,"")</f>
        <v/>
      </c>
      <c r="U17" s="620"/>
      <c r="V17" s="620"/>
      <c r="W17" s="620"/>
      <c r="X17" s="620"/>
      <c r="Y17" s="620"/>
      <c r="Z17" s="620"/>
      <c r="AA17" s="620"/>
    </row>
    <row r="18" spans="1:27">
      <c r="A18" s="2" t="str">
        <f>VLOOKUP(C18,'Rullelister mm.'!$I$2:$K$26,3,FALSE)</f>
        <v>Perfluordecansyre</v>
      </c>
      <c r="B18" s="78">
        <f>VLOOKUP(C18,'Rullelister mm.'!$I$2:$K$26,2,FALSE)</f>
        <v>9</v>
      </c>
      <c r="C18" s="74" t="s">
        <v>34</v>
      </c>
      <c r="D18" s="75"/>
      <c r="E18" s="74"/>
      <c r="F18" s="292"/>
      <c r="G18" s="75"/>
      <c r="H18" s="74"/>
      <c r="I18" s="292"/>
      <c r="J18" s="295" t="str">
        <f t="shared" si="0"/>
        <v/>
      </c>
      <c r="K18" s="295" t="str">
        <f t="shared" si="1"/>
        <v/>
      </c>
      <c r="L18" s="292"/>
      <c r="M18" s="2" t="str">
        <f t="shared" si="2"/>
        <v>PFDA</v>
      </c>
      <c r="N18" s="543" t="str">
        <f>IF(ISNUMBER(Følsomhedsanalyse!S20),ROUND(Følsomhedsanalyse!S20,-INT(LOG10(ABS(Følsomhedsanalyse!S20)))+'Analyser og resultater'!$N$35-1),"")</f>
        <v/>
      </c>
      <c r="O18" s="543" t="str">
        <f>IF(ISNUMBER(Følsomhedsanalyse!S21),ROUND(Følsomhedsanalyse!S21,-INT(LOG10(ABS(Følsomhedsanalyse!S21)))+'Analyser og resultater'!$N$35-1)*1000,"")</f>
        <v/>
      </c>
      <c r="U18" s="620"/>
      <c r="V18" s="620"/>
      <c r="W18" s="620"/>
      <c r="X18" s="620"/>
      <c r="Y18" s="620"/>
      <c r="Z18" s="620"/>
      <c r="AA18" s="620"/>
    </row>
    <row r="19" spans="1:27">
      <c r="A19" s="2" t="str">
        <f>VLOOKUP(C19,'Rullelister mm.'!$I$2:$K$26,3,FALSE)</f>
        <v>Perfluornonansulfonsyre</v>
      </c>
      <c r="B19" s="78">
        <f>VLOOKUP(C19,'Rullelister mm.'!$I$2:$K$26,2,FALSE)</f>
        <v>9</v>
      </c>
      <c r="C19" s="74" t="s">
        <v>27</v>
      </c>
      <c r="D19" s="75"/>
      <c r="E19" s="74"/>
      <c r="F19" s="292"/>
      <c r="G19" s="75"/>
      <c r="H19" s="74"/>
      <c r="I19" s="292"/>
      <c r="J19" s="295" t="str">
        <f t="shared" si="0"/>
        <v/>
      </c>
      <c r="K19" s="295" t="str">
        <f t="shared" si="1"/>
        <v/>
      </c>
      <c r="L19" s="292"/>
      <c r="M19" s="2" t="str">
        <f t="shared" si="2"/>
        <v>PFNS</v>
      </c>
      <c r="N19" s="545" t="str">
        <f>IF(ISNUMBER(Følsomhedsanalyse!T20),ROUND(Følsomhedsanalyse!T20,-INT(LOG10(ABS(Følsomhedsanalyse!T20)))+'Analyser og resultater'!$N$35-1),"")</f>
        <v/>
      </c>
      <c r="O19" s="543" t="str">
        <f>IF(ISNUMBER(Følsomhedsanalyse!T21),ROUND(Følsomhedsanalyse!T21,-INT(LOG10(ABS(Følsomhedsanalyse!T21)))+'Analyser og resultater'!$N$35-1)*1000,"")</f>
        <v/>
      </c>
      <c r="U19" s="620"/>
      <c r="V19" s="620"/>
      <c r="W19" s="620"/>
      <c r="X19" s="620"/>
      <c r="Y19" s="620"/>
      <c r="Z19" s="620"/>
      <c r="AA19" s="620"/>
    </row>
    <row r="20" spans="1:27">
      <c r="A20" s="2" t="str">
        <f>VLOOKUP(C20,'Rullelister mm.'!$I$2:$K$26,3,FALSE)</f>
        <v>Perfluordecansulfonsyre</v>
      </c>
      <c r="B20" s="78">
        <f>VLOOKUP(C20,'Rullelister mm.'!$I$2:$K$26,2,FALSE)</f>
        <v>10</v>
      </c>
      <c r="C20" s="74" t="s">
        <v>29</v>
      </c>
      <c r="D20" s="75"/>
      <c r="E20" s="74"/>
      <c r="F20" s="292"/>
      <c r="G20" s="75"/>
      <c r="H20" s="74"/>
      <c r="I20" s="292"/>
      <c r="J20" s="295" t="str">
        <f t="shared" si="0"/>
        <v/>
      </c>
      <c r="K20" s="295" t="str">
        <f t="shared" si="1"/>
        <v/>
      </c>
      <c r="L20" s="292"/>
      <c r="M20" s="2" t="str">
        <f t="shared" si="2"/>
        <v>PFDS</v>
      </c>
      <c r="N20" s="543" t="str">
        <f>IF(ISNUMBER(Følsomhedsanalyse!U20),ROUND(Følsomhedsanalyse!U20,-INT(LOG10(ABS(Følsomhedsanalyse!U20)))+'Analyser og resultater'!$N$35-1),"")</f>
        <v/>
      </c>
      <c r="O20" s="543" t="str">
        <f>IF(ISNUMBER(Følsomhedsanalyse!U21),ROUND(Følsomhedsanalyse!U21,-INT(LOG10(ABS(Følsomhedsanalyse!U21)))+'Analyser og resultater'!$N$35-1)*1000,"")</f>
        <v/>
      </c>
      <c r="U20" s="620"/>
      <c r="V20" s="620"/>
      <c r="W20" s="620"/>
      <c r="X20" s="620"/>
      <c r="Y20" s="620"/>
      <c r="Z20" s="620"/>
      <c r="AA20" s="620"/>
    </row>
    <row r="21" spans="1:27">
      <c r="A21" s="2" t="str">
        <f>VLOOKUP(C21,'Rullelister mm.'!$I$2:$K$26,3,FALSE)</f>
        <v>Perfluorundecansyre</v>
      </c>
      <c r="B21" s="78">
        <f>VLOOKUP(C21,'Rullelister mm.'!$I$2:$K$26,2,FALSE)</f>
        <v>10</v>
      </c>
      <c r="C21" s="74" t="s">
        <v>32</v>
      </c>
      <c r="D21" s="75"/>
      <c r="E21" s="74"/>
      <c r="F21" s="292"/>
      <c r="G21" s="75"/>
      <c r="H21" s="74"/>
      <c r="I21" s="292"/>
      <c r="J21" s="295" t="str">
        <f t="shared" si="0"/>
        <v/>
      </c>
      <c r="K21" s="295" t="str">
        <f t="shared" si="1"/>
        <v/>
      </c>
      <c r="L21" s="292"/>
      <c r="M21" s="2" t="str">
        <f t="shared" si="2"/>
        <v>PFUnDA</v>
      </c>
      <c r="N21" s="543" t="str">
        <f>IF(ISNUMBER(Følsomhedsanalyse!V20),ROUND(Følsomhedsanalyse!V20,-INT(LOG10(ABS(Følsomhedsanalyse!V20)))+'Analyser og resultater'!$N$35-1),"")</f>
        <v/>
      </c>
      <c r="O21" s="543" t="str">
        <f>IF(ISNUMBER(Følsomhedsanalyse!V21),ROUND(Følsomhedsanalyse!V21,-INT(LOG10(ABS(Følsomhedsanalyse!V21)))+'Analyser og resultater'!$N$35-1)*1000,"")</f>
        <v/>
      </c>
      <c r="U21" s="620"/>
      <c r="V21" s="620"/>
      <c r="W21" s="620"/>
      <c r="X21" s="620"/>
      <c r="Y21" s="620"/>
      <c r="Z21" s="620"/>
      <c r="AA21" s="620"/>
    </row>
    <row r="22" spans="1:27">
      <c r="A22" s="2" t="str">
        <f>VLOOKUP(C22,'Rullelister mm.'!$I$2:$K$26,3,FALSE)</f>
        <v>Perfluordodecansyre</v>
      </c>
      <c r="B22" s="78">
        <f>VLOOKUP(C22,'Rullelister mm.'!$I$2:$K$26,2,FALSE)</f>
        <v>11</v>
      </c>
      <c r="C22" s="74" t="s">
        <v>35</v>
      </c>
      <c r="D22" s="75"/>
      <c r="E22" s="74"/>
      <c r="F22" s="292"/>
      <c r="G22" s="75"/>
      <c r="H22" s="74"/>
      <c r="I22" s="292"/>
      <c r="J22" s="295" t="str">
        <f t="shared" si="0"/>
        <v/>
      </c>
      <c r="K22" s="295" t="str">
        <f t="shared" si="1"/>
        <v/>
      </c>
      <c r="L22" s="292"/>
      <c r="M22" s="2" t="str">
        <f t="shared" si="2"/>
        <v>PFDoDA</v>
      </c>
      <c r="N22" s="543" t="str">
        <f>IF(ISNUMBER(Følsomhedsanalyse!W20),ROUND(Følsomhedsanalyse!W20,-INT(LOG10(ABS(Følsomhedsanalyse!W20)))+'Analyser og resultater'!$N$35-1),"")</f>
        <v/>
      </c>
      <c r="O22" s="543" t="str">
        <f>IF(ISNUMBER(Følsomhedsanalyse!W21),ROUND(Følsomhedsanalyse!W21,-INT(LOG10(ABS(Følsomhedsanalyse!W21)))+'Analyser og resultater'!$N$35-1)*1000,"")</f>
        <v/>
      </c>
      <c r="U22" s="620"/>
      <c r="V22" s="620"/>
      <c r="W22" s="620"/>
      <c r="X22" s="620"/>
      <c r="Y22" s="620"/>
      <c r="Z22" s="620"/>
      <c r="AA22" s="620"/>
    </row>
    <row r="23" spans="1:27">
      <c r="A23" s="2" t="str">
        <f>VLOOKUP(C23,'Rullelister mm.'!$I$2:$K$26,3,FALSE)</f>
        <v>Perfluorundecansulfonsyre</v>
      </c>
      <c r="B23" s="78">
        <f>VLOOKUP(C23,'Rullelister mm.'!$I$2:$K$26,2,FALSE)</f>
        <v>11</v>
      </c>
      <c r="C23" s="74" t="s">
        <v>37</v>
      </c>
      <c r="D23" s="75"/>
      <c r="E23" s="74"/>
      <c r="F23" s="292"/>
      <c r="G23" s="75"/>
      <c r="H23" s="74"/>
      <c r="I23" s="292"/>
      <c r="J23" s="295" t="str">
        <f t="shared" si="0"/>
        <v/>
      </c>
      <c r="K23" s="295" t="str">
        <f t="shared" si="1"/>
        <v/>
      </c>
      <c r="L23" s="292"/>
      <c r="M23" s="2" t="str">
        <f t="shared" si="2"/>
        <v>PFUnDS</v>
      </c>
      <c r="N23" s="543" t="str">
        <f>IF(ISNUMBER(Følsomhedsanalyse!X20),ROUND(Følsomhedsanalyse!X20,-INT(LOG10(ABS(Følsomhedsanalyse!X20)))+'Analyser og resultater'!$N$35-1),"")</f>
        <v/>
      </c>
      <c r="O23" s="543" t="str">
        <f>IF(ISNUMBER(Følsomhedsanalyse!X21),ROUND(Følsomhedsanalyse!X21,-INT(LOG10(ABS(Følsomhedsanalyse!X21)))+'Analyser og resultater'!$N$35-1)*1000,"")</f>
        <v/>
      </c>
      <c r="U23" s="620"/>
      <c r="V23" s="620"/>
      <c r="W23" s="620"/>
      <c r="X23" s="620"/>
      <c r="Y23" s="620"/>
      <c r="Z23" s="620"/>
      <c r="AA23" s="620"/>
    </row>
    <row r="24" spans="1:27">
      <c r="A24" s="2" t="str">
        <f>VLOOKUP(C24,'Rullelister mm.'!$I$2:$K$26,3,FALSE)</f>
        <v>Perfluordodecansulfonsyre</v>
      </c>
      <c r="B24" s="78">
        <f>VLOOKUP(C24,'Rullelister mm.'!$I$2:$K$26,2,FALSE)</f>
        <v>12</v>
      </c>
      <c r="C24" s="74" t="s">
        <v>38</v>
      </c>
      <c r="D24" s="75"/>
      <c r="E24" s="74"/>
      <c r="F24" s="292"/>
      <c r="G24" s="75"/>
      <c r="H24" s="74"/>
      <c r="I24" s="292"/>
      <c r="J24" s="295" t="str">
        <f t="shared" si="0"/>
        <v/>
      </c>
      <c r="K24" s="295" t="str">
        <f t="shared" si="1"/>
        <v/>
      </c>
      <c r="L24" s="292"/>
      <c r="M24" s="2" t="str">
        <f t="shared" si="2"/>
        <v>PFDoDS</v>
      </c>
      <c r="N24" s="543" t="str">
        <f>IF(ISNUMBER(Følsomhedsanalyse!Y20),ROUND(Følsomhedsanalyse!Y20,-INT(LOG10(ABS(Følsomhedsanalyse!Y20)))+'Analyser og resultater'!$N$35-1),"")</f>
        <v/>
      </c>
      <c r="O24" s="543" t="str">
        <f>IF(ISNUMBER(Følsomhedsanalyse!Y21),ROUND(Følsomhedsanalyse!Y21,-INT(LOG10(ABS(Følsomhedsanalyse!Y21)))+'Analyser og resultater'!$N$35-1)*1000,"")</f>
        <v/>
      </c>
      <c r="U24" s="620"/>
      <c r="V24" s="620"/>
      <c r="W24" s="620"/>
      <c r="X24" s="620"/>
      <c r="Y24" s="620"/>
      <c r="Z24" s="620"/>
      <c r="AA24" s="620"/>
    </row>
    <row r="25" spans="1:27" ht="15" customHeight="1">
      <c r="A25" s="2" t="str">
        <f>VLOOKUP(C25,'Rullelister mm.'!$I$2:$K$26,3,FALSE)</f>
        <v>Perfluortridecansyre</v>
      </c>
      <c r="B25" s="78">
        <f>VLOOKUP(C25,'Rullelister mm.'!$I$2:$K$26,2,FALSE)</f>
        <v>12</v>
      </c>
      <c r="C25" s="74" t="s">
        <v>36</v>
      </c>
      <c r="D25" s="75"/>
      <c r="E25" s="74"/>
      <c r="F25" s="292"/>
      <c r="G25" s="75"/>
      <c r="H25" s="74"/>
      <c r="I25" s="292"/>
      <c r="J25" s="295" t="str">
        <f t="shared" si="0"/>
        <v/>
      </c>
      <c r="K25" s="295" t="str">
        <f t="shared" si="1"/>
        <v/>
      </c>
      <c r="L25" s="292"/>
      <c r="M25" s="2" t="str">
        <f t="shared" si="2"/>
        <v>PFTrDA</v>
      </c>
      <c r="N25" s="543" t="str">
        <f>IF(ISNUMBER(Følsomhedsanalyse!Z20),ROUND(Følsomhedsanalyse!Z20,-INT(LOG10(ABS(Følsomhedsanalyse!Z20)))+'Analyser og resultater'!$N$35-1),"")</f>
        <v/>
      </c>
      <c r="O25" s="543" t="str">
        <f>IF(ISNUMBER(Følsomhedsanalyse!Z21),ROUND(Følsomhedsanalyse!Z21,-INT(LOG10(ABS(Følsomhedsanalyse!Z21)))+'Analyser og resultater'!$N$35-1)*1000,"")</f>
        <v/>
      </c>
      <c r="U25" s="621"/>
      <c r="V25" s="620"/>
      <c r="W25" s="620"/>
      <c r="X25" s="620"/>
      <c r="Y25" s="620"/>
      <c r="Z25" s="620"/>
      <c r="AA25" s="620"/>
    </row>
    <row r="26" spans="1:27">
      <c r="A26" s="7" t="str">
        <f>VLOOKUP(C26,'Rullelister mm.'!$I$2:$K$26,3,FALSE)</f>
        <v>Perfluortridecansulfonsyre</v>
      </c>
      <c r="B26" s="79">
        <f>VLOOKUP(C26,'Rullelister mm.'!$I$2:$K$26,2,FALSE)</f>
        <v>13</v>
      </c>
      <c r="C26" s="291" t="s">
        <v>39</v>
      </c>
      <c r="D26" s="76"/>
      <c r="E26" s="74"/>
      <c r="F26" s="292"/>
      <c r="G26" s="76"/>
      <c r="H26" s="74"/>
      <c r="I26" s="292"/>
      <c r="J26" s="300" t="str">
        <f t="shared" si="0"/>
        <v/>
      </c>
      <c r="K26" s="300" t="str">
        <f t="shared" si="1"/>
        <v/>
      </c>
      <c r="L26" s="292"/>
      <c r="M26" s="7" t="str">
        <f t="shared" si="2"/>
        <v>PFTrDS</v>
      </c>
      <c r="N26" s="546" t="str">
        <f>IF(ISNUMBER(Følsomhedsanalyse!AA20),ROUND(Følsomhedsanalyse!AA20,-INT(LOG10(ABS(Følsomhedsanalyse!AA20)))+'Analyser og resultater'!$N$35-1),"")</f>
        <v/>
      </c>
      <c r="O26" s="546" t="str">
        <f>IF(ISNUMBER(Følsomhedsanalyse!AA21),ROUND(Følsomhedsanalyse!AA21,-INT(LOG10(ABS(Følsomhedsanalyse!AA21)))+'Analyser og resultater'!$N$35-1)*1000,"")</f>
        <v/>
      </c>
      <c r="U26" s="621"/>
      <c r="V26" s="620"/>
      <c r="W26" s="620"/>
      <c r="X26" s="620"/>
      <c r="Y26" s="620"/>
      <c r="Z26" s="620"/>
      <c r="AA26" s="620"/>
    </row>
    <row r="27" spans="1:27">
      <c r="A27" s="2" t="str">
        <f>VLOOKUP(C27,'Rullelister mm.'!$I$2:$K$26,3,FALSE)</f>
        <v>Sum af påviste (PFHxS, PFNA, PFOA, PFOS)</v>
      </c>
      <c r="B27" s="78"/>
      <c r="C27" s="74" t="s">
        <v>406</v>
      </c>
      <c r="D27" s="75"/>
      <c r="E27" s="74"/>
      <c r="F27" s="292"/>
      <c r="G27" s="75"/>
      <c r="H27" s="74"/>
      <c r="I27" s="292"/>
      <c r="J27" s="295" t="str">
        <f t="shared" ref="J27:J30" si="3">IF(D27="","",IFERROR(D27*1,D27))</f>
        <v/>
      </c>
      <c r="K27" s="295" t="str">
        <f t="shared" ref="K27:K30" si="4">IF(J27&lt;&gt;"","",IF(G27="","",IFERROR(G27*1,G27)))</f>
        <v/>
      </c>
      <c r="L27" s="292"/>
      <c r="M27" s="2" t="str">
        <f t="shared" si="2"/>
        <v>PFAS4</v>
      </c>
      <c r="N27" s="542" t="str">
        <f>IF(SUM(N11,N13,N16:N17)=0,"",IF(ISNUMBER(SUM(N11,N13,N16:N17)),ROUND(SUM(N11,N13,N16:N17),-INT(LOG10(ABS(SUM(N11,N13,N16:N17))))+'Analyser og resultater'!$N$35-1),""))</f>
        <v/>
      </c>
      <c r="O27" s="542" t="str">
        <f>IF(SUM(O11,O13,O16:O17)=0,"",IF(ISNUMBER(SUM(O11,O13,O16:O17)),ROUND(SUM(O11,O13,O16:O17),-INT(LOG10(ABS(SUM(O11,O13,O16:O17))))+'Analyser og resultater'!$N$35-1),""))</f>
        <v/>
      </c>
      <c r="U27" s="621"/>
      <c r="V27" s="620"/>
      <c r="W27" s="620"/>
      <c r="X27" s="620"/>
      <c r="Y27" s="620"/>
      <c r="Z27" s="620"/>
      <c r="AA27" s="620"/>
    </row>
    <row r="28" spans="1:27">
      <c r="A28" s="7" t="str">
        <f>VLOOKUP(C28,'Rullelister mm.'!$I$2:$K$26,3,FALSE)</f>
        <v>Sum af påviste PFAS, 22 stoffer</v>
      </c>
      <c r="B28" s="79"/>
      <c r="C28" s="291" t="s">
        <v>407</v>
      </c>
      <c r="D28" s="76"/>
      <c r="E28" s="74"/>
      <c r="F28" s="301"/>
      <c r="G28" s="76"/>
      <c r="H28" s="2"/>
      <c r="I28" s="292"/>
      <c r="J28" s="300" t="str">
        <f t="shared" si="3"/>
        <v/>
      </c>
      <c r="K28" s="300" t="str">
        <f t="shared" si="4"/>
        <v/>
      </c>
      <c r="L28" s="301"/>
      <c r="M28" s="7" t="str">
        <f t="shared" si="2"/>
        <v>PFAS22</v>
      </c>
      <c r="N28" s="546" t="str">
        <f>IF(SUM(N5:N26)=0,"",IF(ISNUMBER(SUM(N5:N26)),ROUND(SUM(N5:N26),-INT(LOG10(ABS(SUM(N5:N26))))+'Analyser og resultater'!$N$35-1),""))</f>
        <v/>
      </c>
      <c r="O28" s="546" t="str">
        <f>IF(SUM(O5:O26)=0,"",IF(ISNUMBER(SUM(O5:O26)),ROUND(SUM(O5:O26),-INT(LOG10(ABS(SUM(O5:O26))))+'Analyser og resultater'!$N$35-1),""))</f>
        <v/>
      </c>
      <c r="U28" s="621"/>
    </row>
    <row r="29" spans="1:27" ht="15" customHeight="1">
      <c r="A29" s="302" t="s">
        <v>409</v>
      </c>
      <c r="B29" s="78"/>
      <c r="C29" s="303" t="s">
        <v>211</v>
      </c>
      <c r="D29" s="204"/>
      <c r="E29" s="74"/>
      <c r="F29" s="304" t="str">
        <f>IF(AND(SUM(G5:G28)&gt;0,D29=""),"&lt;-","")</f>
        <v/>
      </c>
      <c r="G29" s="305" t="str">
        <f>IF(AND(SUM(G5:G28)&gt;0,D29=""),"Indtast evt. TS fra en","")</f>
        <v/>
      </c>
      <c r="H29" s="2"/>
      <c r="I29" s="74"/>
      <c r="J29" s="295" t="str">
        <f t="shared" si="3"/>
        <v/>
      </c>
      <c r="K29" s="295" t="str">
        <f t="shared" si="4"/>
        <v/>
      </c>
      <c r="L29" s="306" t="s">
        <v>231</v>
      </c>
      <c r="M29" s="2"/>
      <c r="N29" s="307"/>
      <c r="O29" s="307"/>
      <c r="Q29" s="661" t="str">
        <f>IF(OR(L32&lt;&gt;"",L33&lt;&gt;""),"OBS:
Der er fejl i jordtypevalg (i fanen Jordtype).",IF(OR(L31&lt;&gt;"",L32&lt;&gt;""),"OBS:
Resultaterne er ikke retvisende før der er indtastet både et tørstofindhold (TS%) og er valgt en jordtype (i fanen Jordtype).",IF(AND(Jordtype!B3="MZ",Jordtype!E6&gt;0),"OBS: 
Resultaterne er kun gyldige hvis den indtastede porøsitet er repræsentativ for den mættede jordtype, som er valgt.","")))</f>
        <v>OBS:
Der er fejl i jordtypevalg (i fanen Jordtype).</v>
      </c>
      <c r="R29" s="661"/>
      <c r="S29" s="661"/>
      <c r="T29" s="661"/>
    </row>
    <row r="30" spans="1:27" ht="15" customHeight="1">
      <c r="A30" s="2"/>
      <c r="B30" s="308"/>
      <c r="C30" s="74"/>
      <c r="D30" s="309"/>
      <c r="E30" s="74"/>
      <c r="F30" s="310"/>
      <c r="G30" s="311" t="str">
        <f>IF(AND(SUM(G5:G28)&gt;0,D29=""),"nærliggende JP","")</f>
        <v/>
      </c>
      <c r="H30" s="74"/>
      <c r="I30" s="74"/>
      <c r="J30" s="74" t="str">
        <f t="shared" si="3"/>
        <v/>
      </c>
      <c r="K30" s="74" t="str">
        <f t="shared" si="4"/>
        <v/>
      </c>
      <c r="L30" s="312" t="s">
        <v>397</v>
      </c>
      <c r="M30" s="313"/>
      <c r="N30" s="74"/>
      <c r="O30" s="74"/>
      <c r="Q30" s="661"/>
      <c r="R30" s="661"/>
      <c r="S30" s="661"/>
      <c r="T30" s="661"/>
    </row>
    <row r="31" spans="1:27">
      <c r="A31" s="314" t="str">
        <f>IF(AND(SUM(D5:D28)&lt;&gt;0,SUM(G5:G28)&lt;&gt;0),"OBS: Hvis der for en forbindelse er indtastet både jord-","")</f>
        <v/>
      </c>
      <c r="B31" s="78"/>
      <c r="C31" s="74"/>
      <c r="D31" s="78"/>
      <c r="E31" s="74"/>
      <c r="F31" s="74"/>
      <c r="G31" s="74"/>
      <c r="H31" s="74"/>
      <c r="I31" s="74"/>
      <c r="J31" s="74"/>
      <c r="K31" s="74"/>
      <c r="L31" s="532" t="str">
        <f>IF(AND(Jordtype!B3="MZ",Jordtype!E6&gt;0),"",IF(Jordtype!F7=99.99,"Husk indtastning af TS%",""))</f>
        <v>Husk indtastning af TS%</v>
      </c>
      <c r="M31" s="313"/>
      <c r="N31" s="74"/>
      <c r="O31" s="74"/>
      <c r="Q31" s="661"/>
      <c r="R31" s="661"/>
      <c r="S31" s="661"/>
      <c r="T31" s="661"/>
    </row>
    <row r="32" spans="1:27">
      <c r="A32" s="314" t="str">
        <f>IF(AND(SUM(D5:D28)&lt;&gt;0,SUM(G5:G28)&lt;&gt;0),"og vandprøveresultat, så regnes der kun for jordprøven!","")</f>
        <v/>
      </c>
      <c r="B32" s="78"/>
      <c r="C32" s="74"/>
      <c r="D32" s="78"/>
      <c r="E32" s="74"/>
      <c r="F32" s="74"/>
      <c r="G32" s="74"/>
      <c r="H32" s="74"/>
      <c r="I32" s="74"/>
      <c r="J32" s="74"/>
      <c r="K32" s="74"/>
      <c r="L32" s="532" t="str">
        <f>IF(OR(Jordtype!B3="Ingen",Jordtype!B5="Ingen"),"OBS: Husk at vælge jordtype","")</f>
        <v>OBS: Husk at vælge jordtype</v>
      </c>
      <c r="M32" s="313"/>
      <c r="N32" s="74"/>
      <c r="O32" s="74"/>
      <c r="Q32" s="661"/>
      <c r="R32" s="661"/>
      <c r="S32" s="661"/>
      <c r="T32" s="661"/>
    </row>
    <row r="33" spans="1:20">
      <c r="A33" s="314"/>
      <c r="B33" s="78"/>
      <c r="C33" s="74"/>
      <c r="D33" s="78"/>
      <c r="E33" s="74"/>
      <c r="F33" s="74"/>
      <c r="G33" s="74"/>
      <c r="H33" s="74"/>
      <c r="I33" s="74"/>
      <c r="J33" s="74"/>
      <c r="K33" s="74"/>
      <c r="L33" s="532" t="str">
        <f>IF(L32&lt;&gt;"","",IF(OR(,AND(Jordtype!B3="UZ",VLOOKUP(Jordtype!B5,'Kia og Kd'!$B$11:$C$22,2,FALSE)&gt;7),AND(Jordtype!B3="MZ",VLOOKUP(Jordtype!B5,'Kia og Kd'!$B$11:$C$22,2,FALSE)&lt;8)),"Fejl i jordtypevalg (i fanen Jordtype)",""))</f>
        <v/>
      </c>
      <c r="M33" s="313"/>
      <c r="N33" s="74"/>
      <c r="O33" s="74"/>
      <c r="Q33" s="661"/>
      <c r="R33" s="661"/>
      <c r="S33" s="661"/>
      <c r="T33" s="661"/>
    </row>
    <row r="34" spans="1:20">
      <c r="A34" s="314"/>
      <c r="B34" s="78"/>
      <c r="C34" s="74"/>
      <c r="D34" s="78"/>
      <c r="E34" s="74"/>
      <c r="F34" s="74"/>
      <c r="G34" s="74"/>
      <c r="H34" s="74"/>
      <c r="I34" s="74"/>
      <c r="J34" s="74"/>
      <c r="K34" s="74"/>
      <c r="L34" s="74"/>
      <c r="M34" s="313"/>
      <c r="N34" s="74"/>
      <c r="O34" s="74"/>
    </row>
    <row r="35" spans="1:20">
      <c r="A35" s="2"/>
      <c r="B35" s="2"/>
      <c r="C35" s="2"/>
      <c r="D35" s="2"/>
      <c r="E35" s="2"/>
      <c r="F35" s="2"/>
      <c r="G35" s="2" t="s">
        <v>167</v>
      </c>
      <c r="H35" s="2"/>
      <c r="I35" s="2"/>
      <c r="J35" s="2"/>
      <c r="K35" s="2"/>
      <c r="L35" s="2"/>
      <c r="M35" s="2"/>
      <c r="N35" s="228">
        <v>2</v>
      </c>
      <c r="O35" s="2"/>
    </row>
    <row r="36" spans="1:20">
      <c r="A36" s="315" t="s">
        <v>153</v>
      </c>
      <c r="B36" s="667"/>
      <c r="C36" s="667"/>
      <c r="D36" s="668"/>
      <c r="E36" s="2"/>
      <c r="F36" s="2"/>
      <c r="G36" s="2"/>
      <c r="H36" s="2"/>
      <c r="I36" s="2"/>
      <c r="J36" s="2"/>
      <c r="K36" s="2"/>
      <c r="L36" s="2"/>
      <c r="M36" s="2"/>
      <c r="N36" s="2"/>
      <c r="O36" s="316"/>
    </row>
    <row r="37" spans="1:20">
      <c r="A37" s="317" t="s">
        <v>150</v>
      </c>
      <c r="B37" s="103"/>
      <c r="C37" s="318" t="s">
        <v>151</v>
      </c>
      <c r="D37" s="104"/>
      <c r="E37" s="2"/>
      <c r="F37" s="2"/>
      <c r="G37" s="2"/>
      <c r="H37" s="2"/>
      <c r="I37" s="2"/>
      <c r="J37" s="2"/>
      <c r="K37" s="2"/>
      <c r="L37" s="2"/>
      <c r="M37" s="2"/>
      <c r="N37" s="2"/>
      <c r="O37" s="2"/>
    </row>
    <row r="38" spans="1:20">
      <c r="A38" s="317" t="s">
        <v>157</v>
      </c>
      <c r="B38" s="97"/>
      <c r="C38" s="319" t="s">
        <v>152</v>
      </c>
      <c r="D38" s="511"/>
      <c r="E38" s="2"/>
      <c r="F38" s="2"/>
      <c r="G38" s="2"/>
      <c r="H38" s="2"/>
      <c r="I38" s="2"/>
      <c r="J38" s="2"/>
      <c r="K38" s="2"/>
      <c r="L38" s="2"/>
      <c r="M38" s="2"/>
      <c r="N38" s="2"/>
      <c r="O38" s="2"/>
    </row>
    <row r="39" spans="1:20">
      <c r="A39" s="320" t="s">
        <v>154</v>
      </c>
      <c r="B39" s="103"/>
      <c r="C39" s="321" t="s">
        <v>235</v>
      </c>
      <c r="D39" s="104"/>
      <c r="E39" s="2"/>
      <c r="F39" s="2"/>
      <c r="G39" s="2"/>
      <c r="H39" s="2"/>
      <c r="I39" s="2"/>
      <c r="J39" s="2"/>
      <c r="K39" s="2"/>
      <c r="L39" s="2"/>
      <c r="M39" s="2"/>
      <c r="N39" s="2"/>
      <c r="O39" s="2"/>
    </row>
    <row r="40" spans="1:20">
      <c r="A40" s="322" t="s">
        <v>155</v>
      </c>
      <c r="B40" s="665">
        <f ca="1">NOW()</f>
        <v>45943.37626759259</v>
      </c>
      <c r="C40" s="665"/>
      <c r="D40" s="666"/>
      <c r="E40" s="2"/>
      <c r="F40" s="2"/>
      <c r="G40" s="2"/>
      <c r="H40" s="2"/>
      <c r="I40" s="2"/>
      <c r="J40" s="2"/>
      <c r="K40" s="2"/>
      <c r="L40" s="2"/>
      <c r="M40" s="2"/>
      <c r="N40" s="2"/>
      <c r="O40" s="2"/>
    </row>
    <row r="41" spans="1:20">
      <c r="A41" s="2"/>
      <c r="B41" s="2"/>
      <c r="C41" s="2"/>
      <c r="D41" s="2"/>
      <c r="E41" s="2"/>
      <c r="F41" s="2"/>
      <c r="G41" s="2"/>
      <c r="H41" s="2"/>
      <c r="I41" s="2"/>
      <c r="J41" s="2"/>
      <c r="K41" s="2"/>
      <c r="L41" s="2"/>
      <c r="M41" s="2"/>
      <c r="N41" s="2"/>
      <c r="O41" s="323" t="str">
        <f>Intro!A33</f>
        <v>PFASen (Ver. 2.4) - 2025-10-09</v>
      </c>
    </row>
    <row r="43" spans="1:20">
      <c r="O43" s="658"/>
      <c r="P43" s="658"/>
      <c r="Q43" s="658"/>
      <c r="R43" s="658"/>
      <c r="S43" s="658"/>
      <c r="T43" s="658"/>
    </row>
    <row r="44" spans="1:20">
      <c r="O44" s="658"/>
      <c r="P44" s="658"/>
      <c r="Q44" s="658"/>
      <c r="R44" s="658"/>
      <c r="S44" s="658"/>
      <c r="T44" s="658"/>
    </row>
    <row r="45" spans="1:20">
      <c r="O45" s="658"/>
      <c r="P45" s="658"/>
      <c r="Q45" s="658"/>
      <c r="R45" s="658"/>
      <c r="S45" s="658"/>
      <c r="T45" s="658"/>
    </row>
    <row r="46" spans="1:20">
      <c r="O46" s="658"/>
      <c r="P46" s="658"/>
      <c r="Q46" s="658"/>
      <c r="R46" s="658"/>
      <c r="S46" s="658"/>
      <c r="T46" s="658"/>
    </row>
    <row r="47" spans="1:20">
      <c r="O47" s="658"/>
      <c r="P47" s="658"/>
      <c r="Q47" s="658"/>
      <c r="R47" s="658"/>
      <c r="S47" s="658"/>
      <c r="T47" s="658"/>
    </row>
    <row r="48" spans="1:20">
      <c r="O48" s="658"/>
      <c r="P48" s="658"/>
      <c r="Q48" s="658"/>
      <c r="R48" s="658"/>
      <c r="S48" s="658"/>
      <c r="T48" s="658"/>
    </row>
    <row r="49" spans="15:20">
      <c r="O49" s="658"/>
      <c r="P49" s="658"/>
      <c r="Q49" s="658"/>
      <c r="R49" s="658"/>
      <c r="S49" s="658"/>
      <c r="T49" s="658"/>
    </row>
    <row r="50" spans="15:20">
      <c r="O50" s="658"/>
      <c r="P50" s="658"/>
      <c r="Q50" s="658"/>
      <c r="R50" s="658"/>
      <c r="S50" s="658"/>
      <c r="T50" s="658"/>
    </row>
    <row r="51" spans="15:20">
      <c r="O51" s="658"/>
      <c r="P51" s="658"/>
      <c r="Q51" s="658"/>
      <c r="R51" s="658"/>
      <c r="S51" s="658"/>
      <c r="T51" s="658"/>
    </row>
    <row r="52" spans="15:20">
      <c r="O52" s="658"/>
      <c r="P52" s="658"/>
      <c r="Q52" s="658"/>
      <c r="R52" s="658"/>
      <c r="S52" s="658"/>
      <c r="T52" s="658"/>
    </row>
    <row r="53" spans="15:20">
      <c r="O53" s="658"/>
      <c r="P53" s="658"/>
      <c r="Q53" s="658"/>
      <c r="R53" s="658"/>
      <c r="S53" s="658"/>
      <c r="T53" s="658"/>
    </row>
  </sheetData>
  <sheetProtection algorithmName="SHA-512" hashValue="UBVOwBu+PTZoil83yNZCYgFfD7BgggwSHayrUbpuCtNaOpSwyCde1rOaG3NjwvPMUuBjb09msl3GO8Ht/7jIWg==" saltValue="5uMOuIFbGEw4BZjBeZgbhA==" spinCount="100000" sheet="1" objects="1" scenarios="1"/>
  <mergeCells count="6">
    <mergeCell ref="Q29:T33"/>
    <mergeCell ref="M1:O2"/>
    <mergeCell ref="J1:K1"/>
    <mergeCell ref="J2:K2"/>
    <mergeCell ref="B40:D40"/>
    <mergeCell ref="B36:D36"/>
  </mergeCells>
  <conditionalFormatting sqref="N5:O28">
    <cfRule type="expression" dxfId="106" priority="123" stopIfTrue="1">
      <formula>AND($N$35=3,N5&gt;=100)</formula>
    </cfRule>
    <cfRule type="expression" dxfId="105" priority="124" stopIfTrue="1">
      <formula>AND($N$35=3,N5&gt;=10)</formula>
    </cfRule>
    <cfRule type="expression" dxfId="104" priority="125" stopIfTrue="1">
      <formula>AND($N$35=3,N5&gt;=1)</formula>
    </cfRule>
    <cfRule type="expression" dxfId="103" priority="126" stopIfTrue="1">
      <formula>AND($N$35=3,N5&gt;=0.1)</formula>
    </cfRule>
    <cfRule type="expression" dxfId="102" priority="127" stopIfTrue="1">
      <formula>AND($N$35=3,N5&gt;=0.01)</formula>
    </cfRule>
    <cfRule type="expression" dxfId="101" priority="128" stopIfTrue="1">
      <formula>AND($N$35=3,N5&gt;=0.001)</formula>
    </cfRule>
    <cfRule type="expression" dxfId="100" priority="129" stopIfTrue="1">
      <formula>AND($N$35=3,N5&gt;=0.0001)</formula>
    </cfRule>
    <cfRule type="expression" dxfId="99" priority="130" stopIfTrue="1">
      <formula>AND($N$35=3,N5&gt;=0.00001)</formula>
    </cfRule>
    <cfRule type="expression" dxfId="98" priority="131" stopIfTrue="1">
      <formula>AND($N$35=3,N5&gt;=0.000001)</formula>
    </cfRule>
    <cfRule type="expression" dxfId="97" priority="132" stopIfTrue="1">
      <formula>AND($N$35=2,N5&gt;=10)</formula>
    </cfRule>
    <cfRule type="expression" dxfId="96" priority="133" stopIfTrue="1">
      <formula>AND($N$35=2,N5&gt;=1)</formula>
    </cfRule>
    <cfRule type="expression" dxfId="95" priority="134" stopIfTrue="1">
      <formula>AND($N$35=2,N5&gt;=0.1)</formula>
    </cfRule>
    <cfRule type="expression" dxfId="94" priority="135" stopIfTrue="1">
      <formula>AND($N$35=2,N5&gt;=0.01)</formula>
    </cfRule>
    <cfRule type="expression" dxfId="93" priority="136" stopIfTrue="1">
      <formula>AND($N$35=2,N5&gt;=0.001)</formula>
    </cfRule>
    <cfRule type="expression" dxfId="92" priority="137" stopIfTrue="1">
      <formula>AND($N$35=2,N5&gt;=0.0001)</formula>
    </cfRule>
    <cfRule type="expression" dxfId="91" priority="138" stopIfTrue="1">
      <formula>AND($N$35=2,N5&gt;=0.00001)</formula>
    </cfRule>
    <cfRule type="expression" dxfId="90" priority="139" stopIfTrue="1">
      <formula>AND($N$35=2,N5&gt;=0.000001)</formula>
    </cfRule>
  </conditionalFormatting>
  <conditionalFormatting sqref="Q29:T33">
    <cfRule type="containsText" dxfId="89" priority="1" operator="containsText" text="porøsitet">
      <formula>NOT(ISERROR(SEARCH("porøsitet",Q29)))</formula>
    </cfRule>
    <cfRule type="containsText" dxfId="88" priority="2" operator="containsText" text="TS%">
      <formula>NOT(ISERROR(SEARCH("TS%",Q29)))</formula>
    </cfRule>
    <cfRule type="containsText" dxfId="87" priority="3" operator="containsText" text="jordtypevalg">
      <formula>NOT(ISERROR(SEARCH("jordtypevalg",Q29)))</formula>
    </cfRule>
  </conditionalFormatting>
  <dataValidations count="1">
    <dataValidation type="list" allowBlank="1" showInputMessage="1" showErrorMessage="1" sqref="N35" xr:uid="{3B91979B-F46D-4B89-9759-7241D9B31C32}">
      <formula1>BetydendeCifre</formula1>
    </dataValidation>
  </dataValidations>
  <pageMargins left="0.7" right="0.7" top="0.75" bottom="0.75" header="0.3" footer="0.3"/>
  <pageSetup paperSize="9" scale="7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6FD7A-127A-4BA3-8E90-2CF6DA58A2C9}">
  <sheetPr codeName="Ark3">
    <tabColor rgb="FF193C65"/>
  </sheetPr>
  <dimension ref="A1:W33"/>
  <sheetViews>
    <sheetView topLeftCell="B1" zoomScale="120" zoomScaleNormal="120" zoomScaleSheetLayoutView="140" workbookViewId="0">
      <selection activeCell="B3" sqref="B3"/>
    </sheetView>
  </sheetViews>
  <sheetFormatPr defaultRowHeight="17.25"/>
  <cols>
    <col min="1" max="1" width="2.85546875" style="100" customWidth="1"/>
    <col min="2" max="2" width="28.42578125" style="100" customWidth="1"/>
    <col min="3" max="3" width="17" style="100" customWidth="1"/>
    <col min="4" max="4" width="12.42578125" style="100" customWidth="1"/>
    <col min="5" max="5" width="9.85546875" style="100" customWidth="1"/>
    <col min="6" max="6" width="10.7109375" style="100" customWidth="1"/>
    <col min="7" max="7" width="10.28515625" style="100" customWidth="1"/>
    <col min="8" max="8" width="8.7109375" style="100" customWidth="1"/>
    <col min="9" max="9" width="8.28515625" style="100" customWidth="1"/>
    <col min="10" max="11" width="9.5703125" style="100" customWidth="1"/>
    <col min="12" max="12" width="13" style="100" customWidth="1"/>
    <col min="13" max="13" width="55.85546875" style="100" customWidth="1"/>
    <col min="14" max="14" width="2.28515625" style="100" customWidth="1"/>
    <col min="15" max="15" width="5.5703125" style="100" customWidth="1"/>
    <col min="16" max="17" width="9.140625" style="100"/>
    <col min="18" max="19" width="15.140625" style="100" bestFit="1" customWidth="1"/>
    <col min="20" max="21" width="14.85546875" style="100" bestFit="1" customWidth="1"/>
    <col min="22" max="22" width="15.7109375" style="100" bestFit="1" customWidth="1"/>
    <col min="23" max="23" width="21.7109375" style="100" bestFit="1" customWidth="1"/>
    <col min="24" max="16384" width="9.140625" style="100"/>
  </cols>
  <sheetData>
    <row r="1" spans="1:23" ht="25.5" customHeight="1">
      <c r="A1" s="324" t="s">
        <v>1</v>
      </c>
      <c r="B1" s="3"/>
      <c r="C1" s="3"/>
      <c r="D1" s="669" t="str">
        <f>IF(SUM(D6:G6)&lt;&gt;0,"Der er benyttet én eller flere egne indtastede værdier","Udover TS, er der udelukkende benyttet standard jordtypeparametre")</f>
        <v>Udover TS, er der udelukkende benyttet standard jordtypeparametre</v>
      </c>
      <c r="E1" s="669"/>
      <c r="F1" s="669"/>
      <c r="G1" s="669"/>
      <c r="H1" s="669"/>
      <c r="I1" s="669"/>
      <c r="J1" s="669"/>
      <c r="K1" s="669"/>
      <c r="L1" s="3"/>
      <c r="M1" s="3"/>
      <c r="N1" s="3"/>
    </row>
    <row r="2" spans="1:23" ht="16.5" customHeight="1">
      <c r="A2" s="3"/>
      <c r="B2" s="325" t="s">
        <v>134</v>
      </c>
      <c r="C2" s="326" t="s">
        <v>198</v>
      </c>
      <c r="D2" s="407" t="s">
        <v>204</v>
      </c>
      <c r="E2" s="408" t="s">
        <v>214</v>
      </c>
      <c r="F2" s="408" t="s">
        <v>6</v>
      </c>
      <c r="G2" s="408" t="s">
        <v>4</v>
      </c>
      <c r="H2" s="409" t="s">
        <v>212</v>
      </c>
      <c r="I2" s="409" t="s">
        <v>213</v>
      </c>
      <c r="J2" s="410" t="s">
        <v>205</v>
      </c>
      <c r="K2" s="411" t="s">
        <v>206</v>
      </c>
      <c r="L2" s="676" t="s">
        <v>189</v>
      </c>
      <c r="M2" s="677"/>
      <c r="N2" s="3"/>
    </row>
    <row r="3" spans="1:23" ht="15.75" customHeight="1">
      <c r="A3" s="3"/>
      <c r="B3" s="208" t="s">
        <v>349</v>
      </c>
      <c r="C3" s="326" t="s">
        <v>199</v>
      </c>
      <c r="D3" s="327" t="s">
        <v>221</v>
      </c>
      <c r="E3" s="328" t="s">
        <v>222</v>
      </c>
      <c r="F3" s="328" t="s">
        <v>5</v>
      </c>
      <c r="G3" s="329" t="s">
        <v>230</v>
      </c>
      <c r="H3" s="328" t="s">
        <v>223</v>
      </c>
      <c r="I3" s="328" t="s">
        <v>224</v>
      </c>
      <c r="J3" s="328" t="s">
        <v>202</v>
      </c>
      <c r="K3" s="330" t="s">
        <v>265</v>
      </c>
      <c r="L3" s="331" t="s">
        <v>169</v>
      </c>
      <c r="M3" s="590" t="str">
        <f>IF(OR(B3="Ingen",B5="Ingen"),"",IF(D6="","",IF(OR(D6&lt;2.4,D6&gt;2.8),"Indtastet partikeldensitet er udenfor anbefalet interval (2,4-2,8)","")))</f>
        <v/>
      </c>
      <c r="N3" s="3"/>
    </row>
    <row r="4" spans="1:23" ht="15.75" customHeight="1">
      <c r="A4" s="332"/>
      <c r="B4" s="333" t="s">
        <v>135</v>
      </c>
      <c r="C4" s="326"/>
      <c r="D4" s="327" t="s">
        <v>244</v>
      </c>
      <c r="E4" s="334" t="s">
        <v>266</v>
      </c>
      <c r="F4" s="334" t="s">
        <v>283</v>
      </c>
      <c r="G4" s="334" t="s">
        <v>245</v>
      </c>
      <c r="H4" s="334" t="s">
        <v>246</v>
      </c>
      <c r="I4" s="334" t="s">
        <v>247</v>
      </c>
      <c r="J4" s="334" t="s">
        <v>248</v>
      </c>
      <c r="K4" s="335" t="s">
        <v>249</v>
      </c>
      <c r="L4" s="336" t="s">
        <v>237</v>
      </c>
      <c r="M4" s="591" t="str">
        <f>IF(OR(B3="Ingen",B5="Ingen"),"",IF(OR(E7&lt;0.2,E7&gt;0.5),"Porøsitet er udenfor anbefalet interval (0,2-0,5); i MZ evt. relateret til TS",""))</f>
        <v/>
      </c>
      <c r="N4" s="3"/>
    </row>
    <row r="5" spans="1:23" ht="15.75" customHeight="1">
      <c r="A5" s="3"/>
      <c r="B5" s="208" t="s">
        <v>349</v>
      </c>
      <c r="C5" s="326" t="s">
        <v>200</v>
      </c>
      <c r="D5" s="337" t="e">
        <f>VLOOKUP(Følsomhedsanalyse!H8,Jordparametre!C4:F15,2,FALSE)</f>
        <v>#N/A</v>
      </c>
      <c r="E5" s="338" t="e">
        <f>IF(B3="UZ",VLOOKUP(Følsomhedsanalyse!H8,Jordparametre!C4:F15,4,FALSE),(100-F7)/F7*D7/(1+(100-F7)/F7*D7))</f>
        <v>#N/A</v>
      </c>
      <c r="F5" s="339">
        <f>IF('Analyser og resultater'!D29="",99.99,'Analyser og resultater'!D29)</f>
        <v>99.99</v>
      </c>
      <c r="G5" s="340" t="str">
        <f>IF(AND(B3="MZ",F7=99.99,E6&lt;&gt;""),E7/J7,"")</f>
        <v/>
      </c>
      <c r="H5" s="340"/>
      <c r="I5" s="340"/>
      <c r="J5" s="340"/>
      <c r="K5" s="341"/>
      <c r="L5" s="342" t="s">
        <v>373</v>
      </c>
      <c r="M5" s="591" t="str">
        <f>IF(OR(B3="Ingen",B5="Ingen"),"",IF(AND(F7=99.99,SUM(E6,G6)&lt;&gt;0),"",IF(AND(F7=99.99,E6=""),"Husk at indtaste TS - alternativt porøsitet (n) hvis i MZ",IF(OR(F7&lt;60,F7&gt;95),"TS er udenfor anbefalet interval (60-95%); i MZ evt. relateret til TS",""))))</f>
        <v/>
      </c>
      <c r="N5" s="3"/>
    </row>
    <row r="6" spans="1:23" ht="15.75" customHeight="1">
      <c r="A6" s="3"/>
      <c r="B6" s="343" t="str">
        <f>IF(OR(B3="Ingen",B5="Ingen"),"Jordtypevalg mangler",IF(OR(AND(B3="UZ",VLOOKUP(B5,'Kia og Kd'!$B$11:$C$22,2,FALSE)&gt;7),AND(B3="MZ",VLOOKUP(B5,'Kia og Kd'!$B$11:$C$22,2,FALSE)&lt;8)),"Uoverensstemmelse imellem",""))</f>
        <v>Jordtypevalg mangler</v>
      </c>
      <c r="C6" s="326" t="s">
        <v>19</v>
      </c>
      <c r="D6" s="209"/>
      <c r="E6" s="210"/>
      <c r="F6" s="211"/>
      <c r="G6" s="210"/>
      <c r="H6" s="344"/>
      <c r="I6" s="345"/>
      <c r="J6" s="345"/>
      <c r="K6" s="346"/>
      <c r="L6" s="342" t="s">
        <v>117</v>
      </c>
      <c r="M6" s="591" t="str">
        <f>IF(OR(B3="Ingen",B5="Ingen"),"",IF(AND(ISNUMBER(G7),OR(G7&lt;0.05,G7&gt;0.5)),"Gravimetrisk vandindhold (w) er udenfor anbefalet interval (0,05-0,5)",""))</f>
        <v/>
      </c>
      <c r="N6" s="3"/>
    </row>
    <row r="7" spans="1:23" ht="15.75" customHeight="1">
      <c r="A7" s="3"/>
      <c r="B7" s="347" t="str">
        <f>IF(OR(B3="Ingen",B5="Ingen"),"",IF(OR(AND(B3="UZ",VLOOKUP(B5,'Kia og Kd'!$B$11:$C$22,2,FALSE)&gt;7),AND(B3="MZ",VLOOKUP(B5,'Kia og Kd'!$B$11:$C$22,2,FALSE)&lt;8)),"zone og jordtype",""))</f>
        <v/>
      </c>
      <c r="C7" s="326" t="s">
        <v>118</v>
      </c>
      <c r="D7" s="348" t="e">
        <f>IF(ISNUMBER(D6),D6,D5)</f>
        <v>#N/A</v>
      </c>
      <c r="E7" s="349" t="e">
        <f>IF(ISNUMBER(E6),E6,E5)</f>
        <v>#N/A</v>
      </c>
      <c r="F7" s="350">
        <f>IF(ISNUMBER(F6),F6,F5)</f>
        <v>99.99</v>
      </c>
      <c r="G7" s="349">
        <f>IF(ISNUMBER(G6),G6,IF(ISNUMBER(G5),G5,(100-F7)/F7))</f>
        <v>1.0001000100015117E-4</v>
      </c>
      <c r="H7" s="351" t="e">
        <f>IF(B3="MZ",E7,G7*(1-E7)*D7)</f>
        <v>#N/A</v>
      </c>
      <c r="I7" s="351" t="e">
        <f>E7-H7</f>
        <v>#N/A</v>
      </c>
      <c r="J7" s="351" t="e">
        <f>(1-E7)*D7</f>
        <v>#N/A</v>
      </c>
      <c r="K7" s="352" t="e">
        <f>H7/E7</f>
        <v>#N/A</v>
      </c>
      <c r="L7" s="353" t="s">
        <v>236</v>
      </c>
      <c r="M7" s="591" t="str">
        <f>IF(OR(B3="Ingen",B5="Ingen"),"",IF(F5=99.99,"",IF(I7&lt;0,"Urealistisk kombination af parameterværdier, relateret til TS/vandindhold",IF(AND('Rullelister mm.'!F13&lt;=7,I7&lt;=0.02),"OBS: Højt vandindhold i UZ, relateret til lav TS",""))))</f>
        <v/>
      </c>
      <c r="N7" s="3"/>
    </row>
    <row r="8" spans="1:23" ht="15.75" customHeight="1">
      <c r="A8" s="3"/>
      <c r="B8" s="354"/>
      <c r="C8" s="354"/>
      <c r="D8" s="681" t="str">
        <f>IF(OR(B3="Ingen",B5="Ingen"),"",IF(AND(OR(Følsomhedsanalyse!H8=4,Følsomhedsanalyse!H8=5),K7&lt;0.6),"Tjek om TS/vandindhold er korrekt (UZ moræneler og Sw&lt;0,6)",""))</f>
        <v/>
      </c>
      <c r="E8" s="682"/>
      <c r="F8" s="682"/>
      <c r="G8" s="682"/>
      <c r="H8" s="682"/>
      <c r="I8" s="682"/>
      <c r="J8" s="682"/>
      <c r="K8" s="682"/>
      <c r="L8" s="342"/>
      <c r="M8" s="591" t="str">
        <f>IF(OR(B3="Ingen",B5="Ingen"),"",IF(AND(ISNUMBER(F6),ISNUMBER(G6)),"Indtast kun ét mål for vandindhold",IF(Følsomhedsanalyse!H8=12,"Bemærk, at der er anvendt matrixporøsitet for kalk","")))</f>
        <v/>
      </c>
      <c r="N8" s="3"/>
      <c r="P8" s="101"/>
    </row>
    <row r="9" spans="1:23" ht="15.75" customHeight="1">
      <c r="A9" s="3"/>
      <c r="B9" s="354"/>
      <c r="C9" s="354"/>
      <c r="D9" s="673" t="str">
        <f>IF(OR(B3="Ingen",B5="Ingen"),"",IF(AND(B3="MZ",F7=99.99,E6=""),"Hvis der ikke er indtastet TS i MZ, så skal der indtastes en porøsitet (n) - se evt. tabel i fanen Jordparametre",""))</f>
        <v/>
      </c>
      <c r="E9" s="674"/>
      <c r="F9" s="674"/>
      <c r="G9" s="674"/>
      <c r="H9" s="674"/>
      <c r="I9" s="674"/>
      <c r="J9" s="674"/>
      <c r="K9" s="675"/>
      <c r="L9" s="355"/>
      <c r="M9" s="589" t="str">
        <f>IF(F7&lt;60,"TS&lt;60% indikerer organisk jordtype. Resultater anvendes med forsigtighed","")</f>
        <v/>
      </c>
      <c r="N9" s="3"/>
    </row>
    <row r="10" spans="1:23" ht="15.75" customHeight="1">
      <c r="A10" s="3"/>
      <c r="B10" s="354"/>
      <c r="C10" s="354"/>
      <c r="D10" s="356"/>
      <c r="E10" s="357"/>
      <c r="F10" s="357"/>
      <c r="G10" s="357"/>
      <c r="H10" s="357"/>
      <c r="I10" s="357"/>
      <c r="J10" s="357"/>
      <c r="K10" s="357"/>
      <c r="L10" s="358"/>
      <c r="M10" s="359"/>
      <c r="N10" s="3"/>
    </row>
    <row r="11" spans="1:23">
      <c r="A11" s="3"/>
      <c r="B11" s="360"/>
      <c r="C11" s="360"/>
      <c r="D11" s="361"/>
      <c r="E11" s="361" t="s">
        <v>241</v>
      </c>
      <c r="F11" s="361" t="s">
        <v>240</v>
      </c>
      <c r="G11" s="362"/>
      <c r="H11" s="363"/>
      <c r="I11" s="3"/>
      <c r="J11" s="3"/>
      <c r="K11" s="3"/>
      <c r="L11" s="364"/>
      <c r="M11" s="3"/>
      <c r="N11" s="3"/>
      <c r="S11" s="98"/>
      <c r="T11" s="98"/>
      <c r="U11" s="98"/>
      <c r="V11" s="98"/>
      <c r="W11" s="98"/>
    </row>
    <row r="12" spans="1:23">
      <c r="A12" s="3"/>
      <c r="B12" s="365" t="s">
        <v>225</v>
      </c>
      <c r="C12" s="366"/>
      <c r="D12" s="367" t="s">
        <v>215</v>
      </c>
      <c r="E12" s="368">
        <v>1</v>
      </c>
      <c r="F12" s="369" t="s">
        <v>190</v>
      </c>
      <c r="G12" s="3"/>
      <c r="H12" s="3"/>
      <c r="I12" s="3"/>
      <c r="J12" s="3"/>
      <c r="K12" s="3"/>
      <c r="L12" s="3"/>
      <c r="M12" s="3"/>
      <c r="N12" s="3"/>
      <c r="S12" s="98"/>
      <c r="T12" s="98"/>
    </row>
    <row r="13" spans="1:23" ht="18">
      <c r="A13" s="3"/>
      <c r="B13" s="370" t="s">
        <v>216</v>
      </c>
      <c r="C13" s="371"/>
      <c r="D13" s="372" t="s">
        <v>226</v>
      </c>
      <c r="E13" s="373" t="e">
        <f>H7*E12</f>
        <v>#N/A</v>
      </c>
      <c r="F13" s="374" t="s">
        <v>223</v>
      </c>
      <c r="G13" s="3"/>
      <c r="H13" s="481"/>
      <c r="I13" s="683" t="s">
        <v>435</v>
      </c>
      <c r="J13" s="684"/>
      <c r="K13" s="3"/>
      <c r="L13" s="3"/>
      <c r="M13" s="3"/>
      <c r="N13" s="3"/>
    </row>
    <row r="14" spans="1:23">
      <c r="A14" s="3"/>
      <c r="B14" s="376" t="s">
        <v>217</v>
      </c>
      <c r="C14" s="377"/>
      <c r="D14" s="378" t="s">
        <v>227</v>
      </c>
      <c r="E14" s="379" t="e">
        <f>I7*E12</f>
        <v>#N/A</v>
      </c>
      <c r="F14" s="380" t="s">
        <v>224</v>
      </c>
      <c r="G14" s="3"/>
      <c r="H14" s="635" t="s">
        <v>163</v>
      </c>
      <c r="I14" s="636" t="s">
        <v>83</v>
      </c>
      <c r="J14" s="637" t="s">
        <v>86</v>
      </c>
      <c r="K14" s="3"/>
      <c r="L14" s="3"/>
      <c r="M14" s="3"/>
      <c r="N14" s="3"/>
      <c r="O14" s="381"/>
    </row>
    <row r="15" spans="1:23">
      <c r="A15" s="3"/>
      <c r="B15" s="376" t="s">
        <v>156</v>
      </c>
      <c r="C15" s="377"/>
      <c r="D15" s="382" t="s">
        <v>220</v>
      </c>
      <c r="E15" s="379" t="e">
        <f>E12-E13-E14</f>
        <v>#N/A</v>
      </c>
      <c r="F15" s="380" t="s">
        <v>228</v>
      </c>
      <c r="G15" s="3"/>
      <c r="H15" s="638" t="s">
        <v>164</v>
      </c>
      <c r="I15" s="639" t="s">
        <v>436</v>
      </c>
      <c r="J15" s="640" t="s">
        <v>63</v>
      </c>
      <c r="K15" s="3"/>
      <c r="L15" s="3"/>
      <c r="M15" s="3"/>
      <c r="N15" s="3"/>
      <c r="O15" s="383"/>
    </row>
    <row r="16" spans="1:23">
      <c r="A16" s="3"/>
      <c r="B16" s="376" t="s">
        <v>21</v>
      </c>
      <c r="C16" s="377"/>
      <c r="D16" s="382" t="s">
        <v>267</v>
      </c>
      <c r="E16" s="384" t="e">
        <f>E13+E14</f>
        <v>#N/A</v>
      </c>
      <c r="F16" s="380" t="s">
        <v>222</v>
      </c>
      <c r="G16" s="3"/>
      <c r="H16" s="632"/>
      <c r="I16" s="633"/>
      <c r="J16" s="634"/>
      <c r="K16" s="3"/>
      <c r="L16" s="3"/>
      <c r="M16" s="3"/>
      <c r="N16" s="3"/>
      <c r="O16" s="385"/>
    </row>
    <row r="17" spans="1:15" ht="19.5">
      <c r="A17" s="3"/>
      <c r="B17" s="376" t="s">
        <v>218</v>
      </c>
      <c r="C17" s="377"/>
      <c r="D17" s="382" t="s">
        <v>219</v>
      </c>
      <c r="E17" s="386">
        <f>IF(B3="MZ",0,IF(ISNUMBER(H16),H16,IF(I18="ja",I17,IF(J18="ja",J17,IF(ISNUMBER('Rullelister mm.'!E16),'Rullelister mm.'!E16,IF(ISNUMBER('Rullelister mm.'!F16),'Rullelister mm.'!F16,0))))))</f>
        <v>0</v>
      </c>
      <c r="F17" s="380" t="s">
        <v>203</v>
      </c>
      <c r="G17" s="387"/>
      <c r="H17" s="641" t="s">
        <v>437</v>
      </c>
      <c r="I17" s="642" t="str">
        <f>IF(ISNUMBER(I16),(0.83*(1-$K$7)^2+0.16*(1-$K$7))*(761*LOG(I16*100*100*$J$7)-2025),"")</f>
        <v/>
      </c>
      <c r="J17" s="643" t="str">
        <f>IF(ISNUMBER(J16),(-2.85*K7+3.6)*((1-K7)*3.9*$J$16^(-1.2)),"")</f>
        <v/>
      </c>
      <c r="K17" s="3" t="s">
        <v>87</v>
      </c>
      <c r="L17" s="3"/>
      <c r="M17" s="3"/>
      <c r="N17" s="3"/>
      <c r="O17" s="385"/>
    </row>
    <row r="18" spans="1:15">
      <c r="A18" s="3"/>
      <c r="B18" s="376" t="s">
        <v>22</v>
      </c>
      <c r="C18" s="377"/>
      <c r="D18" s="382" t="s">
        <v>242</v>
      </c>
      <c r="E18" s="384" t="e">
        <f>D7*E15</f>
        <v>#N/A</v>
      </c>
      <c r="F18" s="380" t="s">
        <v>16</v>
      </c>
      <c r="G18" s="3"/>
      <c r="H18" s="644" t="s">
        <v>88</v>
      </c>
      <c r="I18" s="630" t="s">
        <v>89</v>
      </c>
      <c r="J18" s="631" t="s">
        <v>89</v>
      </c>
      <c r="K18" s="3"/>
      <c r="L18" s="388" t="s">
        <v>238</v>
      </c>
      <c r="M18" s="670"/>
      <c r="N18" s="3"/>
      <c r="O18" s="385"/>
    </row>
    <row r="19" spans="1:15">
      <c r="A19" s="3"/>
      <c r="B19" s="389" t="s">
        <v>23</v>
      </c>
      <c r="C19" s="390"/>
      <c r="D19" s="391" t="s">
        <v>243</v>
      </c>
      <c r="E19" s="392" t="e">
        <f>H7*E12</f>
        <v>#N/A</v>
      </c>
      <c r="F19" s="393" t="s">
        <v>229</v>
      </c>
      <c r="G19" s="3"/>
      <c r="H19" s="624" t="str">
        <f>IF(H16&lt;&gt;"","",IF(AND(B3="MZ",OR(ISNUMBER(H16),I18="ja",J18="ja")),"Aia benyttes ikke for MZ",IF(OR(AND(I18="ja",I16=""),AND(J18="ja",J16="")),"Mangler indtastning af NBET eller d50","")))</f>
        <v/>
      </c>
      <c r="I19" s="622"/>
      <c r="J19" s="622"/>
      <c r="K19" s="3"/>
      <c r="L19" s="3"/>
      <c r="M19" s="671"/>
      <c r="N19" s="3"/>
      <c r="O19" s="385"/>
    </row>
    <row r="20" spans="1:15" ht="14.25" customHeight="1">
      <c r="A20" s="3"/>
      <c r="B20" s="3"/>
      <c r="C20" s="3"/>
      <c r="D20" s="396"/>
      <c r="E20" s="397"/>
      <c r="F20" s="398" t="str">
        <f>IF(OR(B3="Ingen",B5="Ingen"),"",IF(H16&lt;&gt;"","",IF(AND(B3="UZ",OR('Rullelister mm.'!F13=1,'Rullelister mm.'!F13=3)),"Der er valgt en jordtype med foc&gt;0,01. Benyt formel til estimering af","")))</f>
        <v/>
      </c>
      <c r="G20" s="3"/>
      <c r="H20" s="394" t="str">
        <f>IF(H19="Aia benyttes ikke for MZ","",IF(ISNUMBER(H16),"Egen indtastet værdi benyttes",IF(OR(AND(I18="ja",J18="ja"),AND(I18="ja",J18="nej")),"NBET benyttes til estimering af Aia",IF(AND(J18="ja",I18="nej"),"d50 benyttes til estimering af Aia",""))))</f>
        <v/>
      </c>
      <c r="I20" s="623"/>
      <c r="J20" s="623"/>
      <c r="K20" s="396" t="str">
        <f>IF(H20="d50 benyttes til estimering af Aia",IF(AND(J18="ja",AND(J16&lt;&gt;"",OR(J16&lt;0.015,J16&gt;0.045))),"men d50 er udenfor anbe-",""),"")</f>
        <v/>
      </c>
      <c r="L20" s="3"/>
      <c r="M20" s="671"/>
      <c r="N20" s="3"/>
    </row>
    <row r="21" spans="1:15">
      <c r="A21" s="3"/>
      <c r="B21" s="3"/>
      <c r="C21" s="3"/>
      <c r="D21" s="3"/>
      <c r="E21" s="400"/>
      <c r="F21" s="401" t="str">
        <f>IF(OR(B3="Ingen",B5="Ingen"),"",IF(H16&lt;&gt;"","",IF(AND(B3="UZ",OR('Rullelister mm.'!F13=1,'Rullelister mm.'!F13=3)),"Aia eller indtast egen værdi. Jorden regnes ellers som mættet (Aia=0)","")))</f>
        <v/>
      </c>
      <c r="G21" s="3"/>
      <c r="H21" s="395"/>
      <c r="I21" s="3"/>
      <c r="J21" s="3"/>
      <c r="K21" s="399" t="str">
        <f>IF(H20="d50 benyttes til estimering af Aia",IF(AND(J18="ja",AND(J16&lt;&gt;"",OR(J16&lt;0.015,J16&gt;0.045))),"falet interval (0,015-0,045)",""),"")</f>
        <v/>
      </c>
      <c r="L21" s="3"/>
      <c r="M21" s="671"/>
      <c r="N21" s="3"/>
    </row>
    <row r="22" spans="1:15">
      <c r="A22" s="3"/>
      <c r="B22" s="402" t="str">
        <f>'Analyser og resultater'!$A$36</f>
        <v>Lokalitetsnavn:</v>
      </c>
      <c r="C22" s="685" t="str">
        <f>IF('Analyser og resultater'!$B$36="","",'Analyser og resultater'!$B$36)</f>
        <v/>
      </c>
      <c r="D22" s="686"/>
      <c r="E22" s="687"/>
      <c r="F22" s="3"/>
      <c r="G22" s="3"/>
      <c r="H22" s="395"/>
      <c r="I22" s="3"/>
      <c r="J22" s="3"/>
      <c r="K22" s="3"/>
      <c r="L22" s="3"/>
      <c r="M22" s="671"/>
      <c r="N22" s="3"/>
    </row>
    <row r="23" spans="1:15">
      <c r="A23" s="3"/>
      <c r="B23" s="403" t="str">
        <f>'Analyser og resultater'!A37</f>
        <v>Sagsnr.:</v>
      </c>
      <c r="C23" s="113" t="str">
        <f>IF('Analyser og resultater'!$B$37="","",'Analyser og resultater'!$B$37)</f>
        <v/>
      </c>
      <c r="D23" s="114" t="str">
        <f>'Analyser og resultater'!C37</f>
        <v>Lok.nr.:</v>
      </c>
      <c r="E23" s="115" t="str">
        <f>IF('Analyser og resultater'!$D$37="","",'Analyser og resultater'!$D$37)</f>
        <v/>
      </c>
      <c r="F23" s="3"/>
      <c r="G23" s="3"/>
      <c r="H23" s="3"/>
      <c r="I23" s="3"/>
      <c r="J23" s="3"/>
      <c r="K23" s="3"/>
      <c r="L23" s="3"/>
      <c r="M23" s="672"/>
      <c r="N23" s="3"/>
    </row>
    <row r="24" spans="1:15">
      <c r="A24" s="3"/>
      <c r="B24" s="403" t="str">
        <f>'Analyser og resultater'!A38</f>
        <v>Prøve / boring:</v>
      </c>
      <c r="C24" s="113" t="str">
        <f>IF('Analyser og resultater'!$B$38="","",'Analyser og resultater'!$B$38)</f>
        <v/>
      </c>
      <c r="D24" s="114" t="str">
        <f>'Analyser og resultater'!C38</f>
        <v>Dybde:</v>
      </c>
      <c r="E24" s="115" t="str">
        <f>IF('Analyser og resultater'!$D$38="","",'Analyser og resultater'!$D$38)</f>
        <v/>
      </c>
      <c r="F24" s="3"/>
      <c r="G24" s="3"/>
      <c r="H24" s="3"/>
      <c r="I24" s="3"/>
      <c r="J24" s="3"/>
      <c r="K24" s="3"/>
      <c r="L24" s="3"/>
      <c r="M24" s="3"/>
      <c r="N24" s="3"/>
    </row>
    <row r="25" spans="1:15">
      <c r="A25" s="3"/>
      <c r="B25" s="403" t="str">
        <f>'Analyser og resultater'!A39</f>
        <v>Firma:</v>
      </c>
      <c r="C25" s="113" t="str">
        <f>IF('Analyser og resultater'!$B$39="","",'Analyser og resultater'!$B$39)</f>
        <v/>
      </c>
      <c r="D25" s="114" t="str">
        <f>'Analyser og resultater'!C39</f>
        <v>Udført af:</v>
      </c>
      <c r="E25" s="115" t="str">
        <f>IF('Analyser og resultater'!$D$39="","",'Analyser og resultater'!$D$39)</f>
        <v/>
      </c>
      <c r="F25" s="3"/>
      <c r="G25" s="404"/>
      <c r="H25" s="3"/>
      <c r="I25" s="3"/>
      <c r="J25" s="3"/>
      <c r="K25" s="3"/>
      <c r="L25" s="3"/>
      <c r="M25" s="3"/>
      <c r="N25" s="3"/>
    </row>
    <row r="26" spans="1:15">
      <c r="A26" s="3"/>
      <c r="B26" s="405" t="str">
        <f>'Analyser og resultater'!A40</f>
        <v>Dato:</v>
      </c>
      <c r="C26" s="678">
        <f ca="1">IF('Analyser og resultater'!$B$40="","",'Analyser og resultater'!$B$40)</f>
        <v>45943.37626759259</v>
      </c>
      <c r="D26" s="679"/>
      <c r="E26" s="680"/>
      <c r="F26" s="3"/>
      <c r="G26" s="404"/>
      <c r="H26" s="3"/>
      <c r="I26" s="3"/>
      <c r="J26" s="3"/>
      <c r="K26" s="3"/>
      <c r="L26" s="3"/>
      <c r="M26" s="3"/>
      <c r="N26" s="3"/>
    </row>
    <row r="27" spans="1:15">
      <c r="A27" s="3"/>
      <c r="B27" s="3"/>
      <c r="C27" s="3"/>
      <c r="D27" s="3"/>
      <c r="E27" s="3"/>
      <c r="F27" s="3"/>
      <c r="G27" s="404"/>
      <c r="H27" s="3"/>
      <c r="I27" s="3"/>
      <c r="J27" s="3"/>
      <c r="K27" s="3"/>
      <c r="L27" s="3"/>
      <c r="M27" s="323" t="str">
        <f>Intro!A33</f>
        <v>PFASen (Ver. 2.4) - 2025-10-09</v>
      </c>
      <c r="N27" s="3"/>
    </row>
    <row r="28" spans="1:15">
      <c r="E28" s="406"/>
      <c r="F28" s="116"/>
      <c r="G28" s="117"/>
    </row>
    <row r="29" spans="1:15">
      <c r="F29" s="116"/>
      <c r="G29" s="117"/>
    </row>
    <row r="30" spans="1:15">
      <c r="F30" s="116"/>
      <c r="G30" s="117"/>
    </row>
    <row r="31" spans="1:15">
      <c r="F31" s="116"/>
      <c r="G31" s="117"/>
    </row>
    <row r="32" spans="1:15">
      <c r="F32" s="116"/>
    </row>
    <row r="33" spans="6:6">
      <c r="F33" s="116"/>
    </row>
  </sheetData>
  <sheetProtection algorithmName="SHA-512" hashValue="XkBZxHI68qldf14M/8KvKFhiGKf5zR4M/ogKAj8GI57/8XQe9VYJv2kM668kyokzAjmQl1LJGinSncQ6Ltq5qw==" saltValue="YOQmvavPAbRbNJYlKCZO6A==" spinCount="100000" sheet="1" objects="1" scenarios="1" selectLockedCells="1"/>
  <dataConsolidate/>
  <mergeCells count="8">
    <mergeCell ref="D1:K1"/>
    <mergeCell ref="M18:M23"/>
    <mergeCell ref="D9:K9"/>
    <mergeCell ref="L2:M2"/>
    <mergeCell ref="C26:E26"/>
    <mergeCell ref="D8:K8"/>
    <mergeCell ref="I13:J13"/>
    <mergeCell ref="C22:E22"/>
  </mergeCells>
  <conditionalFormatting sqref="B3">
    <cfRule type="containsText" dxfId="86" priority="17" operator="containsText" text="UZ">
      <formula>NOT(ISERROR(SEARCH("UZ",B3)))</formula>
    </cfRule>
    <cfRule type="containsText" dxfId="85" priority="18" operator="containsText" text="MZ">
      <formula>NOT(ISERROR(SEARCH("MZ",B3)))</formula>
    </cfRule>
  </conditionalFormatting>
  <conditionalFormatting sqref="D1:K1">
    <cfRule type="containsText" dxfId="82" priority="4" operator="containsText" text="indtastede">
      <formula>NOT(ISERROR(SEARCH("indtastede",D1)))</formula>
    </cfRule>
  </conditionalFormatting>
  <conditionalFormatting sqref="E14">
    <cfRule type="cellIs" dxfId="81" priority="6" operator="lessThan">
      <formula>0</formula>
    </cfRule>
  </conditionalFormatting>
  <conditionalFormatting sqref="E17">
    <cfRule type="cellIs" dxfId="80" priority="7" operator="lessThan">
      <formula>0</formula>
    </cfRule>
  </conditionalFormatting>
  <conditionalFormatting sqref="F5">
    <cfRule type="cellIs" dxfId="79" priority="3" operator="equal">
      <formula>99.99</formula>
    </cfRule>
  </conditionalFormatting>
  <conditionalFormatting sqref="F7">
    <cfRule type="cellIs" dxfId="78" priority="2" operator="equal">
      <formula>99.99</formula>
    </cfRule>
  </conditionalFormatting>
  <conditionalFormatting sqref="I7">
    <cfRule type="cellIs" dxfId="77" priority="10" operator="lessThan">
      <formula>0</formula>
    </cfRule>
  </conditionalFormatting>
  <conditionalFormatting sqref="I17">
    <cfRule type="expression" dxfId="76" priority="9">
      <formula>$I$18="Ja"</formula>
    </cfRule>
  </conditionalFormatting>
  <conditionalFormatting sqref="I18:J18">
    <cfRule type="containsText" dxfId="75" priority="15" operator="containsText" text="ja">
      <formula>NOT(ISERROR(SEARCH("ja",I18)))</formula>
    </cfRule>
    <cfRule type="containsText" dxfId="74" priority="16" operator="containsText" text="nej">
      <formula>NOT(ISERROR(SEARCH("nej",I18)))</formula>
    </cfRule>
  </conditionalFormatting>
  <conditionalFormatting sqref="J17">
    <cfRule type="expression" dxfId="73" priority="8">
      <formula>$J$18="Ja"</formula>
    </cfRule>
  </conditionalFormatting>
  <conditionalFormatting sqref="J18">
    <cfRule type="expression" dxfId="72" priority="1">
      <formula>AND($I$18="Ja",$J$18="Ja")</formula>
    </cfRule>
  </conditionalFormatting>
  <conditionalFormatting sqref="K7">
    <cfRule type="cellIs" dxfId="71" priority="5" operator="greaterThan">
      <formula>1</formula>
    </cfRule>
  </conditionalFormatting>
  <conditionalFormatting sqref="L8:L9 D9 D10:L10">
    <cfRule type="containsText" dxfId="70" priority="12" operator="containsText" text="indtastede">
      <formula>NOT(ISERROR(SEARCH("indtastede",D8)))</formula>
    </cfRule>
  </conditionalFormatting>
  <conditionalFormatting sqref="L11">
    <cfRule type="containsText" dxfId="69" priority="11" operator="containsText" text="indtastede">
      <formula>NOT(ISERROR(SEARCH("indtastede",L11)))</formula>
    </cfRule>
  </conditionalFormatting>
  <dataValidations count="2">
    <dataValidation type="list" allowBlank="1" showInputMessage="1" showErrorMessage="1" sqref="B5" xr:uid="{BEC57E1E-1F46-4387-925C-0CD9DA02B5A9}">
      <formula1>INDIRECT(B3)</formula1>
    </dataValidation>
    <dataValidation type="list" allowBlank="1" showInputMessage="1" showErrorMessage="1" sqref="B3" xr:uid="{9A3795AE-1080-4C0A-ACE7-C89E74E0C5CA}">
      <formula1>Zoner</formula1>
    </dataValidation>
  </dataValidations>
  <pageMargins left="0.59055118110236227" right="0.59055118110236227" top="0.74803149606299213" bottom="0.74803149606299213" header="0.31496062992125984" footer="0.31496062992125984"/>
  <pageSetup paperSize="9" scale="68"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40" id="{00000000-000E-0000-0200-000011000000}">
            <xm:f>'Rullelister mm.'!$F$13&lt;8</xm:f>
            <x14:dxf>
              <font>
                <color theme="6"/>
              </font>
              <fill>
                <patternFill>
                  <bgColor theme="9" tint="0.79998168889431442"/>
                </patternFill>
              </fill>
            </x14:dxf>
          </x14:cfRule>
          <x14:cfRule type="expression" priority="41" id="{00000000-000E-0000-0200-000012000000}">
            <xm:f>'Rullelister mm.'!$F$13&gt;7</xm:f>
            <x14:dxf>
              <font>
                <color rgb="FF0070C0"/>
              </font>
              <fill>
                <patternFill>
                  <bgColor theme="7" tint="0.79998168889431442"/>
                </patternFill>
              </fill>
            </x14:dxf>
          </x14:cfRule>
          <xm:sqref>B5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8747FEB-4854-4226-A26B-AABB5CB664DC}">
          <x14:formula1>
            <xm:f>'Rullelister mm.'!$D$2:$D$3</xm:f>
          </x14:formula1>
          <xm:sqref>I18:J18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F056B-E313-4467-AF04-833F5C60BEF0}">
  <sheetPr codeName="Ark19">
    <tabColor rgb="FF193C65"/>
  </sheetPr>
  <dimension ref="A1:R115"/>
  <sheetViews>
    <sheetView topLeftCell="A50" zoomScaleNormal="100" zoomScaleSheetLayoutView="100" workbookViewId="0">
      <selection activeCell="A109" sqref="A109"/>
    </sheetView>
  </sheetViews>
  <sheetFormatPr defaultRowHeight="15"/>
  <cols>
    <col min="1" max="1" width="12.28515625" style="127" customWidth="1"/>
    <col min="2" max="2" width="8.85546875" style="127" customWidth="1"/>
    <col min="3" max="3" width="7.5703125" style="127" customWidth="1"/>
    <col min="4" max="12" width="8.85546875" style="127" customWidth="1"/>
    <col min="13" max="13" width="7.42578125" style="127" customWidth="1"/>
    <col min="14" max="14" width="9.5703125" style="127" customWidth="1"/>
    <col min="15" max="15" width="10.140625" style="127" customWidth="1"/>
    <col min="16" max="16" width="8.140625" style="127" customWidth="1"/>
    <col min="17" max="17" width="8.7109375" style="127" customWidth="1"/>
    <col min="18" max="21" width="8.85546875" style="127" customWidth="1"/>
    <col min="22" max="22" width="3.42578125" style="127" customWidth="1"/>
    <col min="23" max="25" width="8.85546875" style="127" customWidth="1"/>
    <col min="26" max="26" width="3" style="127" customWidth="1"/>
    <col min="27" max="16384" width="9.140625" style="127"/>
  </cols>
  <sheetData>
    <row r="1" spans="1:18" ht="15" customHeight="1">
      <c r="A1" s="134"/>
      <c r="B1" s="134"/>
      <c r="C1" s="134"/>
      <c r="D1" s="134"/>
      <c r="E1" s="134"/>
      <c r="F1" s="134"/>
      <c r="G1" s="134"/>
      <c r="H1" s="134"/>
      <c r="I1" s="134"/>
      <c r="J1" s="134"/>
      <c r="K1" s="134"/>
      <c r="L1" s="134"/>
      <c r="M1" s="134"/>
      <c r="N1" s="134"/>
      <c r="O1" s="134"/>
      <c r="P1" s="134"/>
      <c r="Q1" s="134"/>
    </row>
    <row r="2" spans="1:18" ht="15" customHeight="1">
      <c r="A2" s="134"/>
      <c r="B2" s="134"/>
      <c r="C2" s="134"/>
      <c r="D2" s="134"/>
      <c r="E2" s="134"/>
      <c r="F2" s="134"/>
      <c r="G2" s="134"/>
      <c r="H2" s="134"/>
      <c r="I2" s="134"/>
      <c r="J2" s="134"/>
      <c r="K2" s="134"/>
      <c r="L2" s="134"/>
      <c r="M2" s="134"/>
      <c r="N2" s="134"/>
      <c r="O2" s="134"/>
      <c r="P2" s="134"/>
      <c r="Q2" s="134"/>
    </row>
    <row r="3" spans="1:18" ht="15" customHeight="1">
      <c r="A3" s="134"/>
      <c r="B3" s="134"/>
      <c r="C3" s="134"/>
      <c r="D3" s="134"/>
      <c r="E3" s="134"/>
      <c r="F3" s="134"/>
      <c r="G3" s="134"/>
      <c r="H3" s="134"/>
      <c r="I3" s="134"/>
      <c r="J3" s="134"/>
      <c r="K3" s="134"/>
      <c r="L3" s="134"/>
      <c r="M3" s="134"/>
      <c r="N3" s="134"/>
      <c r="O3" s="134"/>
      <c r="P3" s="134"/>
      <c r="Q3" s="134"/>
    </row>
    <row r="4" spans="1:18" ht="12.95" customHeight="1">
      <c r="A4" s="134"/>
      <c r="B4" s="134"/>
      <c r="C4" s="134"/>
      <c r="D4" s="134"/>
      <c r="E4" s="134"/>
      <c r="F4" s="134"/>
      <c r="G4" s="134"/>
      <c r="H4" s="134"/>
      <c r="I4" s="134"/>
      <c r="J4" s="134"/>
      <c r="K4" s="134"/>
      <c r="L4" s="134"/>
      <c r="M4" s="134"/>
      <c r="N4" s="146"/>
      <c r="O4" s="146"/>
      <c r="P4" s="147" t="s">
        <v>376</v>
      </c>
      <c r="Q4" s="134"/>
    </row>
    <row r="5" spans="1:18" ht="12.95" customHeight="1">
      <c r="A5" s="134"/>
      <c r="B5" s="134"/>
      <c r="C5" s="134"/>
      <c r="D5" s="134"/>
      <c r="E5" s="134"/>
      <c r="F5" s="134"/>
      <c r="G5" s="134"/>
      <c r="H5" s="134"/>
      <c r="I5" s="134"/>
      <c r="J5" s="134"/>
      <c r="K5" s="134"/>
      <c r="L5" s="134"/>
      <c r="M5" s="134"/>
      <c r="N5" s="144" t="s">
        <v>195</v>
      </c>
      <c r="O5" s="144" t="s">
        <v>196</v>
      </c>
      <c r="P5" s="145" t="s">
        <v>197</v>
      </c>
      <c r="Q5" s="134"/>
    </row>
    <row r="6" spans="1:18" ht="12.95" customHeight="1">
      <c r="A6" s="134"/>
      <c r="B6" s="134"/>
      <c r="C6" s="134"/>
      <c r="D6" s="134"/>
      <c r="E6" s="134"/>
      <c r="F6" s="134"/>
      <c r="G6" s="134"/>
      <c r="H6" s="134"/>
      <c r="I6" s="134"/>
      <c r="J6" s="134"/>
      <c r="K6" s="134"/>
      <c r="L6" s="134"/>
      <c r="M6" s="134"/>
      <c r="N6" s="180" t="s">
        <v>10</v>
      </c>
      <c r="O6" s="181">
        <f>VLOOKUP(N6,'Rullelister mm.'!$I$3:$J$24,2,FALSE)</f>
        <v>3</v>
      </c>
      <c r="P6" s="184" t="str">
        <f>IF(ISNUMBER(HLOOKUP(N6,Følsomhedsanalyse!$F$19:$AB$23,3,FALSE)*1000),ROUND(HLOOKUP(N6,Følsomhedsanalyse!$F$19:$AB$23,3,FALSE)*1000,-INT(LOG10(ABS(HLOOKUP(N6,Følsomhedsanalyse!$F$19:$AB$23,3,FALSE)*1000)))+'Analyser og resultater'!$N$35-1),"")</f>
        <v/>
      </c>
      <c r="Q6" s="188"/>
      <c r="R6" s="212"/>
    </row>
    <row r="7" spans="1:18" ht="12.95" customHeight="1">
      <c r="A7" s="134"/>
      <c r="B7" s="134"/>
      <c r="C7" s="134"/>
      <c r="D7" s="134"/>
      <c r="E7" s="134"/>
      <c r="F7" s="134"/>
      <c r="G7" s="134"/>
      <c r="H7" s="134"/>
      <c r="I7" s="134"/>
      <c r="J7" s="134"/>
      <c r="K7" s="134"/>
      <c r="L7" s="134"/>
      <c r="M7" s="134"/>
      <c r="N7" s="176" t="s">
        <v>11</v>
      </c>
      <c r="O7" s="177">
        <f>VLOOKUP(N7,'Rullelister mm.'!$I$3:$J$24,2,FALSE)</f>
        <v>4</v>
      </c>
      <c r="P7" s="183" t="str">
        <f>IF(ISNUMBER(HLOOKUP(N7,Følsomhedsanalyse!$F$19:$AB$23,3,FALSE)*1000),ROUND(HLOOKUP(N7,Følsomhedsanalyse!$F$19:$AB$23,3,FALSE)*1000,-INT(LOG10(ABS(HLOOKUP(N7,Følsomhedsanalyse!$F$19:$AB$23,3,FALSE)*1000)))+'Analyser og resultater'!$N$35-1),"")</f>
        <v/>
      </c>
      <c r="Q7" s="188"/>
    </row>
    <row r="8" spans="1:18" ht="12.95" customHeight="1">
      <c r="A8" s="134"/>
      <c r="B8" s="134"/>
      <c r="C8" s="134"/>
      <c r="D8" s="134"/>
      <c r="E8" s="134"/>
      <c r="F8" s="134"/>
      <c r="G8" s="134"/>
      <c r="H8" s="134"/>
      <c r="I8" s="134"/>
      <c r="J8" s="134"/>
      <c r="K8" s="134"/>
      <c r="L8" s="134"/>
      <c r="M8" s="134"/>
      <c r="N8" s="174" t="s">
        <v>12</v>
      </c>
      <c r="O8" s="175">
        <f>VLOOKUP(N8,'Rullelister mm.'!$I$3:$J$24,2,FALSE)</f>
        <v>5</v>
      </c>
      <c r="P8" s="183" t="str">
        <f>IF(ISNUMBER(HLOOKUP(N8,Følsomhedsanalyse!$F$19:$AB$23,3,FALSE)*1000),ROUND(HLOOKUP(N8,Følsomhedsanalyse!$F$19:$AB$23,3,FALSE)*1000,-INT(LOG10(ABS(HLOOKUP(N8,Følsomhedsanalyse!$F$19:$AB$23,3,FALSE)*1000)))+'Analyser og resultater'!$N$35-1),"")</f>
        <v/>
      </c>
      <c r="Q8" s="188"/>
    </row>
    <row r="9" spans="1:18" ht="12.95" customHeight="1">
      <c r="A9" s="134"/>
      <c r="B9" s="134"/>
      <c r="C9" s="134"/>
      <c r="D9" s="134"/>
      <c r="E9" s="134"/>
      <c r="F9" s="134"/>
      <c r="G9" s="134"/>
      <c r="H9" s="134"/>
      <c r="I9" s="134"/>
      <c r="J9" s="134"/>
      <c r="K9" s="134"/>
      <c r="L9" s="134"/>
      <c r="M9" s="134"/>
      <c r="N9" s="170" t="s">
        <v>14</v>
      </c>
      <c r="O9" s="171">
        <f>VLOOKUP(N9,'Rullelister mm.'!$I$3:$J$24,2,FALSE)</f>
        <v>6</v>
      </c>
      <c r="P9" s="182" t="str">
        <f>IF(ISNUMBER(HLOOKUP(N9,Følsomhedsanalyse!$F$19:$AB$23,3,FALSE)*1000),ROUND(HLOOKUP(N9,Følsomhedsanalyse!$F$19:$AB$23,3,FALSE)*1000,-INT(LOG10(ABS(HLOOKUP(N9,Følsomhedsanalyse!$F$19:$AB$23,3,FALSE)*1000)))+'Analyser og resultater'!$N$35-1),"")</f>
        <v/>
      </c>
      <c r="Q9" s="188"/>
    </row>
    <row r="10" spans="1:18" ht="12.95" customHeight="1">
      <c r="A10" s="134"/>
      <c r="B10" s="134"/>
      <c r="C10" s="134"/>
      <c r="D10" s="134"/>
      <c r="E10" s="134"/>
      <c r="F10" s="134"/>
      <c r="G10" s="134"/>
      <c r="H10" s="134"/>
      <c r="I10" s="134"/>
      <c r="J10" s="134"/>
      <c r="K10" s="134"/>
      <c r="L10" s="134"/>
      <c r="M10" s="134"/>
      <c r="N10" s="230" t="s">
        <v>7</v>
      </c>
      <c r="O10" s="231">
        <f>VLOOKUP(N10,'Rullelister mm.'!$I$3:$J$24,2,FALSE)</f>
        <v>7</v>
      </c>
      <c r="P10" s="232" t="str">
        <f>IF(ISNUMBER(HLOOKUP(N10,Følsomhedsanalyse!$F$19:$AB$23,3,FALSE)*1000),ROUND(HLOOKUP(N10,Følsomhedsanalyse!$F$19:$AB$23,3,FALSE)*1000,-INT(LOG10(ABS(HLOOKUP(N10,Følsomhedsanalyse!$F$19:$AB$23,3,FALSE)*1000)))+'Analyser og resultater'!$N$35-1),"")</f>
        <v/>
      </c>
      <c r="Q10" s="188"/>
    </row>
    <row r="11" spans="1:18" ht="12.95" customHeight="1">
      <c r="A11" s="134"/>
      <c r="B11" s="134"/>
      <c r="C11" s="134"/>
      <c r="D11" s="134"/>
      <c r="E11" s="134"/>
      <c r="F11" s="134"/>
      <c r="G11" s="134"/>
      <c r="H11" s="134"/>
      <c r="I11" s="134"/>
      <c r="J11" s="134"/>
      <c r="K11" s="134"/>
      <c r="L11" s="134"/>
      <c r="M11" s="134"/>
      <c r="N11" s="162" t="s">
        <v>15</v>
      </c>
      <c r="O11" s="163">
        <f>VLOOKUP(N11,'Rullelister mm.'!$I$3:$J$24,2,FALSE)</f>
        <v>8</v>
      </c>
      <c r="P11" s="229" t="str">
        <f>IF(ISNUMBER(HLOOKUP(N11,Følsomhedsanalyse!$F$19:$AB$23,3,FALSE)*1000),ROUND(HLOOKUP(N11,Følsomhedsanalyse!$F$19:$AB$23,3,FALSE)*1000,-INT(LOG10(ABS(HLOOKUP(N11,Følsomhedsanalyse!$F$19:$AB$23,3,FALSE)*1000)))+'Analyser og resultater'!$N$35-1),"")</f>
        <v/>
      </c>
      <c r="Q11" s="188"/>
    </row>
    <row r="12" spans="1:18" ht="12.95" customHeight="1">
      <c r="A12" s="134"/>
      <c r="B12" s="134"/>
      <c r="C12" s="134"/>
      <c r="D12" s="134"/>
      <c r="E12" s="134"/>
      <c r="F12" s="134"/>
      <c r="G12" s="134"/>
      <c r="H12" s="134"/>
      <c r="I12" s="134"/>
      <c r="J12" s="134"/>
      <c r="K12" s="134"/>
      <c r="L12" s="134"/>
      <c r="M12" s="134"/>
      <c r="N12" s="160" t="s">
        <v>34</v>
      </c>
      <c r="O12" s="161">
        <f>VLOOKUP(N12,'Rullelister mm.'!$I$3:$J$24,2,FALSE)</f>
        <v>9</v>
      </c>
      <c r="P12" s="185" t="str">
        <f>IF(ISNUMBER(HLOOKUP(N12,Følsomhedsanalyse!$F$19:$AB$23,3,FALSE)*1000),ROUND(HLOOKUP(N12,Følsomhedsanalyse!$F$19:$AB$23,3,FALSE)*1000,-INT(LOG10(ABS(HLOOKUP(N12,Følsomhedsanalyse!$F$19:$AB$23,3,FALSE)*1000)))+'Analyser og resultater'!$N$35-1),"")</f>
        <v/>
      </c>
      <c r="Q12" s="196"/>
    </row>
    <row r="13" spans="1:18" ht="12.95" customHeight="1">
      <c r="A13" s="134"/>
      <c r="B13" s="134"/>
      <c r="C13" s="134"/>
      <c r="D13" s="134"/>
      <c r="E13" s="134"/>
      <c r="F13" s="134"/>
      <c r="G13" s="134"/>
      <c r="H13" s="134"/>
      <c r="I13" s="134"/>
      <c r="J13" s="134"/>
      <c r="K13" s="134"/>
      <c r="L13" s="134"/>
      <c r="M13" s="134"/>
      <c r="N13" s="154" t="s">
        <v>32</v>
      </c>
      <c r="O13" s="155">
        <f>VLOOKUP(N13,'Rullelister mm.'!$I$3:$J$24,2,FALSE)</f>
        <v>10</v>
      </c>
      <c r="P13" s="185" t="str">
        <f>IF(ISNUMBER(HLOOKUP(N13,Følsomhedsanalyse!$F$19:$AB$23,3,FALSE)*1000),ROUND(HLOOKUP(N13,Følsomhedsanalyse!$F$19:$AB$23,3,FALSE)*1000,-INT(LOG10(ABS(HLOOKUP(N13,Følsomhedsanalyse!$F$19:$AB$23,3,FALSE)*1000)))+'Analyser og resultater'!$N$35-1),"")</f>
        <v/>
      </c>
      <c r="Q13" s="196"/>
    </row>
    <row r="14" spans="1:18" ht="12.95" customHeight="1">
      <c r="A14" s="134"/>
      <c r="B14" s="134"/>
      <c r="C14" s="134"/>
      <c r="D14" s="134"/>
      <c r="E14" s="134"/>
      <c r="F14" s="134"/>
      <c r="G14" s="134"/>
      <c r="H14" s="134"/>
      <c r="I14" s="134"/>
      <c r="J14" s="134"/>
      <c r="K14" s="134"/>
      <c r="L14" s="134"/>
      <c r="M14" s="134"/>
      <c r="N14" s="152" t="s">
        <v>35</v>
      </c>
      <c r="O14" s="153">
        <f>VLOOKUP(N14,'Rullelister mm.'!$I$3:$J$24,2,FALSE)</f>
        <v>11</v>
      </c>
      <c r="P14" s="185" t="str">
        <f>IF(ISNUMBER(HLOOKUP(N14,Følsomhedsanalyse!$F$19:$AB$23,3,FALSE)*1000),ROUND(HLOOKUP(N14,Følsomhedsanalyse!$F$19:$AB$23,3,FALSE)*1000,-INT(LOG10(ABS(HLOOKUP(N14,Følsomhedsanalyse!$F$19:$AB$23,3,FALSE)*1000)))+'Analyser og resultater'!$N$35-1),"")</f>
        <v/>
      </c>
      <c r="Q14" s="196"/>
    </row>
    <row r="15" spans="1:18" ht="12.95" customHeight="1">
      <c r="A15" s="134"/>
      <c r="B15" s="134"/>
      <c r="C15" s="134"/>
      <c r="D15" s="134"/>
      <c r="E15" s="134"/>
      <c r="F15" s="134"/>
      <c r="G15" s="134"/>
      <c r="H15" s="134"/>
      <c r="I15" s="134"/>
      <c r="J15" s="134"/>
      <c r="K15" s="134"/>
      <c r="L15" s="134"/>
      <c r="M15" s="134"/>
      <c r="N15" s="234" t="s">
        <v>36</v>
      </c>
      <c r="O15" s="235">
        <f>VLOOKUP(N15,'Rullelister mm.'!$I$3:$J$24,2,FALSE)</f>
        <v>12</v>
      </c>
      <c r="P15" s="186" t="str">
        <f>IF(ISNUMBER(HLOOKUP(N15,Følsomhedsanalyse!$F$19:$AB$23,3,FALSE)*1000),ROUND(HLOOKUP(N15,Følsomhedsanalyse!$F$19:$AB$23,3,FALSE)*1000,-INT(LOG10(ABS(HLOOKUP(N15,Følsomhedsanalyse!$F$19:$AB$23,3,FALSE)*1000)))+'Analyser og resultater'!$N$35-1),"")</f>
        <v/>
      </c>
      <c r="Q15" s="196"/>
    </row>
    <row r="16" spans="1:18" ht="12.95" customHeight="1">
      <c r="A16" s="134"/>
      <c r="B16" s="134"/>
      <c r="C16" s="134"/>
      <c r="D16" s="134"/>
      <c r="E16" s="134"/>
      <c r="F16" s="134"/>
      <c r="G16" s="134"/>
      <c r="H16" s="134"/>
      <c r="I16" s="134"/>
      <c r="J16" s="134"/>
      <c r="K16" s="134"/>
      <c r="L16" s="134"/>
      <c r="M16" s="134"/>
      <c r="N16" s="178" t="s">
        <v>28</v>
      </c>
      <c r="O16" s="179">
        <f>VLOOKUP(N16,'Rullelister mm.'!$I$3:$J$24,2,FALSE)</f>
        <v>4</v>
      </c>
      <c r="P16" s="233" t="str">
        <f>IF(ISNUMBER(HLOOKUP(N16,Følsomhedsanalyse!$F$19:$AB$23,3,FALSE)*1000),ROUND(HLOOKUP(N16,Følsomhedsanalyse!$F$19:$AB$23,3,FALSE)*1000,-INT(LOG10(ABS(HLOOKUP(N16,Følsomhedsanalyse!$F$19:$AB$23,3,FALSE)*1000)))+'Analyser og resultater'!$N$35-1),"")</f>
        <v/>
      </c>
      <c r="Q16" s="196"/>
    </row>
    <row r="17" spans="1:17" ht="12.95" customHeight="1">
      <c r="A17" s="134"/>
      <c r="B17" s="134"/>
      <c r="C17" s="134"/>
      <c r="D17" s="134"/>
      <c r="E17" s="134"/>
      <c r="F17" s="134"/>
      <c r="G17" s="134"/>
      <c r="H17" s="134"/>
      <c r="I17" s="134"/>
      <c r="J17" s="134"/>
      <c r="K17" s="134"/>
      <c r="L17" s="134"/>
      <c r="M17" s="134"/>
      <c r="N17" s="172" t="s">
        <v>33</v>
      </c>
      <c r="O17" s="173">
        <f>VLOOKUP(N17,'Rullelister mm.'!$I$3:$J$24,2,FALSE)</f>
        <v>5</v>
      </c>
      <c r="P17" s="183" t="str">
        <f>IF(ISNUMBER(HLOOKUP(N17,Følsomhedsanalyse!$F$19:$AB$23,3,FALSE)*1000),ROUND(HLOOKUP(N17,Følsomhedsanalyse!$F$19:$AB$23,3,FALSE)*1000,-INT(LOG10(ABS(HLOOKUP(N17,Følsomhedsanalyse!$F$19:$AB$23,3,FALSE)*1000)))+'Analyser og resultater'!$N$35-1),"")</f>
        <v/>
      </c>
      <c r="Q17" s="196"/>
    </row>
    <row r="18" spans="1:17" ht="12.95" customHeight="1">
      <c r="A18" s="134"/>
      <c r="B18" s="134"/>
      <c r="C18" s="134"/>
      <c r="D18" s="134"/>
      <c r="E18" s="134"/>
      <c r="F18" s="134"/>
      <c r="G18" s="134"/>
      <c r="H18" s="134"/>
      <c r="I18" s="134"/>
      <c r="J18" s="134"/>
      <c r="K18" s="134"/>
      <c r="L18" s="134"/>
      <c r="M18" s="134"/>
      <c r="N18" s="168" t="s">
        <v>13</v>
      </c>
      <c r="O18" s="169">
        <f>VLOOKUP(N18,'Rullelister mm.'!$I$3:$J$24,2,FALSE)</f>
        <v>6</v>
      </c>
      <c r="P18" s="190" t="str">
        <f>IF(ISNUMBER(HLOOKUP(N18,Følsomhedsanalyse!$F$19:$AB$23,3,FALSE)*1000),ROUND(HLOOKUP(N18,Følsomhedsanalyse!$F$19:$AB$23,3,FALSE)*1000,-INT(LOG10(ABS(HLOOKUP(N18,Følsomhedsanalyse!$F$19:$AB$23,3,FALSE)*1000)))+'Analyser og resultater'!$N$35-1),"")</f>
        <v/>
      </c>
      <c r="Q18" s="196"/>
    </row>
    <row r="19" spans="1:17" ht="12.95" customHeight="1">
      <c r="A19" s="134"/>
      <c r="B19" s="134"/>
      <c r="C19" s="134"/>
      <c r="D19" s="134"/>
      <c r="E19" s="134"/>
      <c r="F19" s="134"/>
      <c r="G19" s="134"/>
      <c r="H19" s="134"/>
      <c r="I19" s="134"/>
      <c r="J19" s="134"/>
      <c r="K19" s="134"/>
      <c r="L19" s="134"/>
      <c r="M19" s="134"/>
      <c r="N19" s="166" t="s">
        <v>31</v>
      </c>
      <c r="O19" s="167">
        <f>VLOOKUP(N19,'Rullelister mm.'!$I$3:$J$24,2,FALSE)</f>
        <v>7</v>
      </c>
      <c r="P19" s="185" t="str">
        <f>IF(ISNUMBER(HLOOKUP(N19,Følsomhedsanalyse!$F$19:$AB$23,3,FALSE)*1000),ROUND(HLOOKUP(N19,Følsomhedsanalyse!$F$19:$AB$23,3,FALSE)*1000,-INT(LOG10(ABS(HLOOKUP(N19,Følsomhedsanalyse!$F$19:$AB$23,3,FALSE)*1000)))+'Analyser og resultater'!$N$35-1),"")</f>
        <v/>
      </c>
      <c r="Q19" s="196"/>
    </row>
    <row r="20" spans="1:17" ht="12.95" customHeight="1">
      <c r="A20" s="134"/>
      <c r="B20" s="134"/>
      <c r="C20" s="134"/>
      <c r="D20" s="134"/>
      <c r="E20" s="134"/>
      <c r="F20" s="134"/>
      <c r="G20" s="134"/>
      <c r="H20" s="134"/>
      <c r="I20" s="134"/>
      <c r="J20" s="134"/>
      <c r="K20" s="134"/>
      <c r="L20" s="134"/>
      <c r="M20" s="134"/>
      <c r="N20" s="237" t="s">
        <v>0</v>
      </c>
      <c r="O20" s="238">
        <f>VLOOKUP(N20,'Rullelister mm.'!$I$3:$J$24,2,FALSE)</f>
        <v>8</v>
      </c>
      <c r="P20" s="232" t="str">
        <f>IF(ISNUMBER(HLOOKUP(N20,Følsomhedsanalyse!$F$19:$AB$23,3,FALSE)*1000),ROUND(HLOOKUP(N20,Følsomhedsanalyse!$F$19:$AB$23,3,FALSE)*1000,-INT(LOG10(ABS(HLOOKUP(N20,Følsomhedsanalyse!$F$19:$AB$23,3,FALSE)*1000)))+'Analyser og resultater'!$N$35-1),"")</f>
        <v/>
      </c>
      <c r="Q20" s="196"/>
    </row>
    <row r="21" spans="1:17" ht="12.95" customHeight="1">
      <c r="A21" s="134"/>
      <c r="B21" s="134"/>
      <c r="C21" s="134"/>
      <c r="D21" s="134"/>
      <c r="E21" s="134"/>
      <c r="F21" s="134"/>
      <c r="G21" s="134"/>
      <c r="H21" s="134"/>
      <c r="I21" s="134"/>
      <c r="J21" s="134"/>
      <c r="K21" s="134"/>
      <c r="L21" s="134"/>
      <c r="M21" s="134"/>
      <c r="N21" s="158" t="s">
        <v>27</v>
      </c>
      <c r="O21" s="159">
        <f>VLOOKUP(N21,'Rullelister mm.'!$I$3:$J$24,2,FALSE)</f>
        <v>9</v>
      </c>
      <c r="P21" s="236" t="str">
        <f>IF(ISNUMBER(HLOOKUP(N21,Følsomhedsanalyse!$F$19:$AB$23,3,FALSE)*1000),ROUND(HLOOKUP(N21,Følsomhedsanalyse!$F$19:$AB$23,3,FALSE)*1000,-INT(LOG10(ABS(HLOOKUP(N21,Følsomhedsanalyse!$F$19:$AB$23,3,FALSE)*1000)))+'Analyser og resultater'!$N$35-1),"")</f>
        <v/>
      </c>
      <c r="Q21" s="196"/>
    </row>
    <row r="22" spans="1:17" ht="12.95" customHeight="1">
      <c r="A22" s="134"/>
      <c r="B22" s="134"/>
      <c r="C22" s="134"/>
      <c r="D22" s="134"/>
      <c r="E22" s="134"/>
      <c r="F22" s="134"/>
      <c r="G22" s="134"/>
      <c r="H22" s="134"/>
      <c r="I22" s="134"/>
      <c r="J22" s="134"/>
      <c r="K22" s="134"/>
      <c r="L22" s="134"/>
      <c r="M22" s="134"/>
      <c r="N22" s="156" t="s">
        <v>29</v>
      </c>
      <c r="O22" s="157">
        <f>VLOOKUP(N22,'Rullelister mm.'!$I$3:$J$24,2,FALSE)</f>
        <v>10</v>
      </c>
      <c r="P22" s="185" t="str">
        <f>IF(ISNUMBER(HLOOKUP(N22,Følsomhedsanalyse!$F$19:$AB$23,3,FALSE)*1000),ROUND(HLOOKUP(N22,Følsomhedsanalyse!$F$19:$AB$23,3,FALSE)*1000,-INT(LOG10(ABS(HLOOKUP(N22,Følsomhedsanalyse!$F$19:$AB$23,3,FALSE)*1000)))+'Analyser og resultater'!$N$35-1),"")</f>
        <v/>
      </c>
      <c r="Q22" s="196"/>
    </row>
    <row r="23" spans="1:17" ht="12.95" customHeight="1">
      <c r="A23" s="134"/>
      <c r="B23" s="134"/>
      <c r="C23" s="134"/>
      <c r="D23" s="134"/>
      <c r="E23" s="134"/>
      <c r="F23" s="134"/>
      <c r="G23" s="134"/>
      <c r="H23" s="134"/>
      <c r="I23" s="134"/>
      <c r="J23" s="134"/>
      <c r="K23" s="134"/>
      <c r="L23" s="134"/>
      <c r="M23" s="134"/>
      <c r="N23" s="150" t="s">
        <v>37</v>
      </c>
      <c r="O23" s="151">
        <f>VLOOKUP(N23,'Rullelister mm.'!$I$3:$J$24,2,FALSE)</f>
        <v>11</v>
      </c>
      <c r="P23" s="185" t="str">
        <f>IF(ISNUMBER(HLOOKUP(N23,Følsomhedsanalyse!$F$19:$AB$23,3,FALSE)*1000),ROUND(HLOOKUP(N23,Følsomhedsanalyse!$F$19:$AB$23,3,FALSE)*1000,-INT(LOG10(ABS(HLOOKUP(N23,Følsomhedsanalyse!$F$19:$AB$23,3,FALSE)*1000)))+'Analyser og resultater'!$N$35-1),"")</f>
        <v/>
      </c>
      <c r="Q23" s="196"/>
    </row>
    <row r="24" spans="1:17" ht="12.95" customHeight="1">
      <c r="A24" s="134"/>
      <c r="B24" s="134"/>
      <c r="C24" s="134"/>
      <c r="D24" s="134"/>
      <c r="E24" s="134"/>
      <c r="F24" s="134"/>
      <c r="G24" s="134"/>
      <c r="H24" s="134"/>
      <c r="I24" s="134"/>
      <c r="J24" s="134"/>
      <c r="K24" s="134"/>
      <c r="L24" s="134"/>
      <c r="M24" s="134"/>
      <c r="N24" s="148" t="s">
        <v>38</v>
      </c>
      <c r="O24" s="149">
        <f>VLOOKUP(N24,'Rullelister mm.'!$I$3:$J$24,2,FALSE)</f>
        <v>12</v>
      </c>
      <c r="P24" s="185" t="str">
        <f>IF(ISNUMBER(HLOOKUP(N24,Følsomhedsanalyse!$F$19:$AB$23,3,FALSE)*1000),ROUND(HLOOKUP(N24,Følsomhedsanalyse!$F$19:$AB$23,3,FALSE)*1000,-INT(LOG10(ABS(HLOOKUP(N24,Følsomhedsanalyse!$F$19:$AB$23,3,FALSE)*1000)))+'Analyser og resultater'!$N$35-1),"")</f>
        <v/>
      </c>
      <c r="Q24" s="196"/>
    </row>
    <row r="25" spans="1:17" ht="12.95" customHeight="1">
      <c r="A25" s="134"/>
      <c r="B25" s="134"/>
      <c r="C25" s="134"/>
      <c r="D25" s="134"/>
      <c r="E25" s="134"/>
      <c r="F25" s="134"/>
      <c r="G25" s="134"/>
      <c r="H25" s="134"/>
      <c r="I25" s="134"/>
      <c r="J25" s="134"/>
      <c r="K25" s="134"/>
      <c r="L25" s="134"/>
      <c r="M25" s="134"/>
      <c r="N25" s="239" t="s">
        <v>39</v>
      </c>
      <c r="O25" s="240">
        <f>VLOOKUP(N25,'Rullelister mm.'!$I$3:$J$24,2,FALSE)</f>
        <v>13</v>
      </c>
      <c r="P25" s="186" t="str">
        <f>IF(ISNUMBER(HLOOKUP(N25,Følsomhedsanalyse!$F$19:$AB$23,3,FALSE)*1000),ROUND(HLOOKUP(N25,Følsomhedsanalyse!$F$19:$AB$23,3,FALSE)*1000,-INT(LOG10(ABS(HLOOKUP(N25,Følsomhedsanalyse!$F$19:$AB$23,3,FALSE)*1000)))+'Analyser og resultater'!$N$35-1),"")</f>
        <v/>
      </c>
      <c r="Q25" s="196"/>
    </row>
    <row r="26" spans="1:17" ht="12.95" customHeight="1">
      <c r="A26" s="134"/>
      <c r="B26" s="134"/>
      <c r="C26" s="134"/>
      <c r="D26" s="134"/>
      <c r="E26" s="134"/>
      <c r="F26" s="134"/>
      <c r="G26" s="134"/>
      <c r="H26" s="134"/>
      <c r="I26" s="134"/>
      <c r="J26" s="134"/>
      <c r="K26" s="134"/>
      <c r="L26" s="134"/>
      <c r="M26" s="134"/>
      <c r="N26" s="241" t="s">
        <v>61</v>
      </c>
      <c r="O26" s="242">
        <f>VLOOKUP(N26,'Rullelister mm.'!$I$3:$J$24,2,FALSE)</f>
        <v>6</v>
      </c>
      <c r="P26" s="243" t="str">
        <f>IF(ISNUMBER(HLOOKUP(N26,Følsomhedsanalyse!$F$19:$AB$23,3,FALSE)*1000),ROUND(HLOOKUP(N26,Følsomhedsanalyse!$F$19:$AB$23,3,FALSE)*1000,-INT(LOG10(ABS(HLOOKUP(N26,Følsomhedsanalyse!$F$19:$AB$23,3,FALSE)*1000)))+'Analyser og resultater'!$N$35-1),"")</f>
        <v/>
      </c>
      <c r="Q26" s="196"/>
    </row>
    <row r="27" spans="1:17" ht="12.95" customHeight="1">
      <c r="A27" s="134"/>
      <c r="B27" s="134"/>
      <c r="C27" s="134"/>
      <c r="D27" s="134"/>
      <c r="E27" s="134"/>
      <c r="F27" s="134"/>
      <c r="G27" s="134"/>
      <c r="H27" s="134"/>
      <c r="I27" s="134"/>
      <c r="J27" s="134"/>
      <c r="K27" s="134"/>
      <c r="L27" s="134"/>
      <c r="M27" s="134"/>
      <c r="N27" s="164" t="s">
        <v>30</v>
      </c>
      <c r="O27" s="165">
        <f>VLOOKUP(N27,'Rullelister mm.'!$I$3:$J$24,2,FALSE)</f>
        <v>8</v>
      </c>
      <c r="P27" s="236" t="str">
        <f>IF(ISNUMBER(HLOOKUP(N27,Følsomhedsanalyse!$F$19:$AB$23,3,FALSE)*1000),ROUND(HLOOKUP(N27,Følsomhedsanalyse!$F$19:$AB$23,3,FALSE)*1000,-INT(LOG10(ABS(HLOOKUP(N27,Følsomhedsanalyse!$F$19:$AB$23,3,FALSE)*1000)))+'Analyser og resultater'!$N$35-1),"")</f>
        <v/>
      </c>
      <c r="Q27" s="196"/>
    </row>
    <row r="28" spans="1:17" ht="12.75" customHeight="1">
      <c r="A28" s="134"/>
      <c r="B28" s="134"/>
      <c r="C28" s="134"/>
      <c r="D28" s="134"/>
      <c r="E28" s="134"/>
      <c r="F28" s="134"/>
      <c r="G28" s="134"/>
      <c r="H28" s="134"/>
      <c r="I28" s="134"/>
      <c r="J28" s="134"/>
      <c r="K28" s="134"/>
      <c r="L28" s="134"/>
      <c r="M28" s="134"/>
      <c r="N28" s="191" t="s">
        <v>406</v>
      </c>
      <c r="O28" s="191"/>
      <c r="P28" s="192" t="str">
        <f>IF(SUM(P10,P11,P18,P20)=0,"",IF(ISNUMBER(SUM(P18,P10,P11,P20)),ROUND(SUM(P18,P10,P11,P20),-INT(LOG10(ABS(SUM(P18,P10,P11,P20))))+'Analyser og resultater'!$N$35-1),""))</f>
        <v/>
      </c>
      <c r="Q28" s="196"/>
    </row>
    <row r="29" spans="1:17" ht="12.75" customHeight="1">
      <c r="A29" s="134"/>
      <c r="B29" s="134"/>
      <c r="C29" s="134"/>
      <c r="D29" s="134"/>
      <c r="E29" s="134"/>
      <c r="F29" s="134"/>
      <c r="G29" s="134"/>
      <c r="H29" s="134"/>
      <c r="I29" s="134"/>
      <c r="J29" s="134"/>
      <c r="K29" s="134"/>
      <c r="L29" s="134"/>
      <c r="M29" s="134"/>
      <c r="N29" s="193" t="s">
        <v>407</v>
      </c>
      <c r="O29" s="193"/>
      <c r="P29" s="194" t="str">
        <f>IF(SUM(P6:P27)=0,"",IF(ISNUMBER(SUM(P6:P27)),ROUND(SUM(P6:P27),-INT(LOG10(ABS(SUM(P6:P27))))+'Analyser og resultater'!$N$35-1),""))</f>
        <v/>
      </c>
      <c r="Q29" s="196"/>
    </row>
    <row r="30" spans="1:17" ht="12.75" customHeight="1">
      <c r="A30" s="134"/>
      <c r="B30" s="134"/>
      <c r="C30" s="134"/>
      <c r="D30" s="134"/>
      <c r="E30" s="134"/>
      <c r="F30" s="134"/>
      <c r="G30" s="134"/>
      <c r="H30" s="134"/>
      <c r="I30" s="134"/>
      <c r="J30" s="134"/>
      <c r="K30" s="134"/>
      <c r="L30" s="134"/>
      <c r="M30" s="134"/>
      <c r="N30"/>
      <c r="O30" s="134"/>
      <c r="P30" s="187" t="s">
        <v>409</v>
      </c>
      <c r="Q30" s="196"/>
    </row>
    <row r="31" spans="1:17" ht="12.75" customHeight="1">
      <c r="A31" s="134"/>
      <c r="B31" s="134"/>
      <c r="C31" s="134"/>
      <c r="D31" s="134"/>
      <c r="E31" s="134"/>
      <c r="F31" s="134"/>
      <c r="G31" s="134"/>
      <c r="H31" s="134"/>
      <c r="I31" s="134"/>
      <c r="J31" s="134"/>
      <c r="K31" s="134"/>
      <c r="L31" s="134"/>
      <c r="M31" s="134"/>
      <c r="N31" s="134"/>
      <c r="O31" s="134"/>
      <c r="P31" s="134"/>
      <c r="Q31" s="196"/>
    </row>
    <row r="32" spans="1:17" ht="12.75" customHeight="1">
      <c r="A32" s="134"/>
      <c r="B32" s="134"/>
      <c r="C32" s="134"/>
      <c r="D32" s="134"/>
      <c r="E32" s="134"/>
      <c r="F32" s="134"/>
      <c r="G32" s="134"/>
      <c r="H32" s="134"/>
      <c r="I32" s="134"/>
      <c r="J32" s="134"/>
      <c r="K32" s="134"/>
      <c r="L32" s="134"/>
      <c r="M32" s="134"/>
      <c r="N32" s="134"/>
      <c r="O32" s="134"/>
      <c r="P32" s="134"/>
      <c r="Q32" s="196"/>
    </row>
    <row r="33" spans="1:17" ht="8.25" customHeight="1">
      <c r="A33" s="134"/>
      <c r="B33" s="134"/>
      <c r="C33" s="134"/>
      <c r="D33" s="134"/>
      <c r="E33" s="134"/>
      <c r="F33" s="134"/>
      <c r="G33" s="134"/>
      <c r="H33" s="134"/>
      <c r="I33" s="134"/>
      <c r="J33" s="134"/>
      <c r="K33" s="134"/>
      <c r="L33" s="134"/>
      <c r="M33" s="134"/>
      <c r="N33" s="134"/>
      <c r="O33" s="134"/>
      <c r="P33" s="134"/>
      <c r="Q33" s="196"/>
    </row>
    <row r="34" spans="1:17" ht="12.75" customHeight="1">
      <c r="A34" s="134"/>
      <c r="B34" s="134"/>
      <c r="C34" s="134"/>
      <c r="D34" s="134"/>
      <c r="E34" s="134"/>
      <c r="F34" s="134"/>
      <c r="G34" s="134"/>
      <c r="H34" s="134"/>
      <c r="I34" s="134"/>
      <c r="J34" s="134"/>
      <c r="K34" s="134"/>
      <c r="L34" s="134"/>
      <c r="M34" s="134"/>
      <c r="N34" s="134"/>
      <c r="O34" s="134"/>
      <c r="P34" s="134"/>
      <c r="Q34" s="196"/>
    </row>
    <row r="35" spans="1:17" ht="12.75" customHeight="1">
      <c r="A35" s="134"/>
      <c r="B35" s="134"/>
      <c r="C35" s="134"/>
      <c r="D35" s="134"/>
      <c r="E35" s="134"/>
      <c r="F35" s="134"/>
      <c r="G35" s="134"/>
      <c r="H35" s="134"/>
      <c r="I35" s="134"/>
      <c r="J35" s="134"/>
      <c r="K35" s="134"/>
      <c r="L35" s="134"/>
      <c r="M35" s="134"/>
      <c r="N35" s="134"/>
      <c r="O35" s="134"/>
      <c r="P35" s="134"/>
      <c r="Q35" s="196"/>
    </row>
    <row r="36" spans="1:17" ht="12.75" customHeight="1">
      <c r="A36" s="134"/>
      <c r="B36" s="134"/>
      <c r="C36" s="134"/>
      <c r="D36" s="134"/>
      <c r="E36" s="134"/>
      <c r="F36" s="134"/>
      <c r="G36" s="134"/>
      <c r="H36" s="134"/>
      <c r="I36" s="134"/>
      <c r="J36" s="134"/>
      <c r="K36" s="134"/>
      <c r="L36" s="134"/>
      <c r="M36" s="134"/>
      <c r="N36" s="134"/>
      <c r="O36" s="134"/>
      <c r="P36" s="134"/>
      <c r="Q36" s="196"/>
    </row>
    <row r="37" spans="1:17" ht="12.75" customHeight="1">
      <c r="A37" s="134"/>
      <c r="B37" s="134"/>
      <c r="C37" s="134"/>
      <c r="D37" s="134"/>
      <c r="E37" s="134"/>
      <c r="F37" s="134"/>
      <c r="G37" s="134"/>
      <c r="H37" s="134"/>
      <c r="I37" s="134"/>
      <c r="J37" s="134"/>
      <c r="K37" s="134"/>
      <c r="L37" s="134"/>
      <c r="M37" s="134"/>
      <c r="N37" s="146"/>
      <c r="O37" s="146"/>
      <c r="P37" s="147" t="s">
        <v>377</v>
      </c>
      <c r="Q37" s="196"/>
    </row>
    <row r="38" spans="1:17" ht="12.75" customHeight="1">
      <c r="A38" s="134"/>
      <c r="B38" s="134"/>
      <c r="C38" s="134"/>
      <c r="D38" s="134"/>
      <c r="E38" s="134"/>
      <c r="F38" s="134"/>
      <c r="G38" s="134"/>
      <c r="H38" s="134"/>
      <c r="I38" s="134"/>
      <c r="J38" s="134"/>
      <c r="K38" s="134"/>
      <c r="L38" s="134"/>
      <c r="M38" s="134"/>
      <c r="N38" s="144" t="s">
        <v>195</v>
      </c>
      <c r="O38" s="144" t="s">
        <v>196</v>
      </c>
      <c r="P38" s="145" t="s">
        <v>9</v>
      </c>
      <c r="Q38" s="196"/>
    </row>
    <row r="39" spans="1:17" ht="12.75" customHeight="1">
      <c r="A39" s="134"/>
      <c r="B39" s="134"/>
      <c r="C39" s="134"/>
      <c r="D39" s="134"/>
      <c r="E39" s="134"/>
      <c r="F39" s="134"/>
      <c r="G39" s="134"/>
      <c r="H39" s="134"/>
      <c r="I39" s="134"/>
      <c r="J39" s="134"/>
      <c r="K39" s="134"/>
      <c r="L39" s="134"/>
      <c r="M39" s="134"/>
      <c r="N39" s="180" t="s">
        <v>10</v>
      </c>
      <c r="O39" s="181">
        <f>VLOOKUP(N39,'Rullelister mm.'!$I$3:$J$24,2,FALSE)</f>
        <v>3</v>
      </c>
      <c r="P39" s="184" t="str">
        <f>IF(ISNUMBER(HLOOKUP(N39,Følsomhedsanalyse!$F$19:$AB$23,4,FALSE)),ROUND(HLOOKUP(N39,Følsomhedsanalyse!$F$19:$AB$23,4,FALSE),-INT(LOG10(ABS(HLOOKUP(N39,Følsomhedsanalyse!$F$19:$AB$23,4,FALSE))))+'Analyser og resultater'!$N$35-1),"")</f>
        <v/>
      </c>
      <c r="Q39" s="196"/>
    </row>
    <row r="40" spans="1:17" ht="12.75" customHeight="1">
      <c r="A40" s="134"/>
      <c r="B40" s="134"/>
      <c r="C40" s="134"/>
      <c r="D40" s="134"/>
      <c r="E40" s="134"/>
      <c r="F40" s="134"/>
      <c r="G40" s="134"/>
      <c r="H40" s="134"/>
      <c r="I40" s="134"/>
      <c r="J40" s="134"/>
      <c r="K40" s="134"/>
      <c r="L40" s="134"/>
      <c r="M40" s="134"/>
      <c r="N40" s="176" t="s">
        <v>11</v>
      </c>
      <c r="O40" s="177">
        <f>VLOOKUP(N40,'Rullelister mm.'!$I$3:$J$24,2,FALSE)</f>
        <v>4</v>
      </c>
      <c r="P40" s="183" t="str">
        <f>IF(ISNUMBER(HLOOKUP(N40,Følsomhedsanalyse!$F$19:$AB$23,4,FALSE)),ROUND(HLOOKUP(N40,Følsomhedsanalyse!$F$19:$AB$23,4,FALSE),-INT(LOG10(ABS(HLOOKUP(N40,Følsomhedsanalyse!$F$19:$AB$23,4,FALSE))))+'Analyser og resultater'!$N$35-1),"")</f>
        <v/>
      </c>
      <c r="Q40" s="196"/>
    </row>
    <row r="41" spans="1:17" ht="12.75" customHeight="1">
      <c r="A41" s="134"/>
      <c r="B41" s="134"/>
      <c r="C41" s="134"/>
      <c r="D41" s="134"/>
      <c r="E41" s="134"/>
      <c r="F41" s="134"/>
      <c r="G41" s="134"/>
      <c r="H41" s="134"/>
      <c r="I41" s="134"/>
      <c r="J41" s="134"/>
      <c r="K41" s="134"/>
      <c r="L41" s="134"/>
      <c r="M41" s="134"/>
      <c r="N41" s="174" t="s">
        <v>12</v>
      </c>
      <c r="O41" s="175">
        <f>VLOOKUP(N41,'Rullelister mm.'!$I$3:$J$24,2,FALSE)</f>
        <v>5</v>
      </c>
      <c r="P41" s="183" t="str">
        <f>IF(ISNUMBER(HLOOKUP(N41,Følsomhedsanalyse!$F$19:$AB$23,4,FALSE)),ROUND(HLOOKUP(N41,Følsomhedsanalyse!$F$19:$AB$23,4,FALSE),-INT(LOG10(ABS(HLOOKUP(N41,Følsomhedsanalyse!$F$19:$AB$23,4,FALSE))))+'Analyser og resultater'!$N$35-1),"")</f>
        <v/>
      </c>
      <c r="Q41" s="196"/>
    </row>
    <row r="42" spans="1:17" ht="12.75" customHeight="1">
      <c r="A42" s="134"/>
      <c r="B42" s="134"/>
      <c r="C42" s="134"/>
      <c r="D42" s="134"/>
      <c r="E42" s="134"/>
      <c r="F42" s="134"/>
      <c r="G42" s="134"/>
      <c r="H42" s="134"/>
      <c r="I42" s="134"/>
      <c r="J42" s="134"/>
      <c r="K42" s="134"/>
      <c r="L42" s="134"/>
      <c r="M42" s="134"/>
      <c r="N42" s="170" t="s">
        <v>14</v>
      </c>
      <c r="O42" s="171">
        <f>VLOOKUP(N42,'Rullelister mm.'!$I$3:$J$24,2,FALSE)</f>
        <v>6</v>
      </c>
      <c r="P42" s="182" t="str">
        <f>IF(ISNUMBER(HLOOKUP(N42,Følsomhedsanalyse!$F$19:$AB$23,4,FALSE)),ROUND(HLOOKUP(N42,Følsomhedsanalyse!$F$19:$AB$23,4,FALSE),-INT(LOG10(ABS(HLOOKUP(N42,Følsomhedsanalyse!$F$19:$AB$23,4,FALSE))))+'Analyser og resultater'!$N$35-1),"")</f>
        <v/>
      </c>
      <c r="Q42" s="196"/>
    </row>
    <row r="43" spans="1:17" ht="12.75" customHeight="1">
      <c r="A43" s="134"/>
      <c r="B43" s="134"/>
      <c r="C43" s="134"/>
      <c r="D43" s="134"/>
      <c r="E43" s="134"/>
      <c r="F43" s="134"/>
      <c r="G43" s="134"/>
      <c r="H43" s="134"/>
      <c r="I43" s="134"/>
      <c r="J43" s="134"/>
      <c r="K43" s="134"/>
      <c r="L43" s="134"/>
      <c r="M43" s="134"/>
      <c r="N43" s="230" t="s">
        <v>7</v>
      </c>
      <c r="O43" s="231">
        <f>VLOOKUP(N43,'Rullelister mm.'!$I$3:$J$24,2,FALSE)</f>
        <v>7</v>
      </c>
      <c r="P43" s="232" t="str">
        <f>IF(ISNUMBER(HLOOKUP(N43,Følsomhedsanalyse!$F$19:$AB$23,4,FALSE)),ROUND(HLOOKUP(N43,Følsomhedsanalyse!$F$19:$AB$23,4,FALSE),-INT(LOG10(ABS(HLOOKUP(N43,Følsomhedsanalyse!$F$19:$AB$23,4,FALSE))))+'Analyser og resultater'!$N$35-1),"")</f>
        <v/>
      </c>
      <c r="Q43" s="196"/>
    </row>
    <row r="44" spans="1:17" ht="12.75" customHeight="1">
      <c r="A44" s="134"/>
      <c r="B44" s="134"/>
      <c r="C44" s="134"/>
      <c r="D44" s="134"/>
      <c r="E44" s="134"/>
      <c r="F44" s="134"/>
      <c r="G44" s="134"/>
      <c r="H44" s="134"/>
      <c r="I44" s="134"/>
      <c r="J44" s="134"/>
      <c r="K44" s="134"/>
      <c r="L44" s="134"/>
      <c r="M44" s="134"/>
      <c r="N44" s="162" t="s">
        <v>15</v>
      </c>
      <c r="O44" s="163">
        <f>VLOOKUP(N44,'Rullelister mm.'!$I$3:$J$24,2,FALSE)</f>
        <v>8</v>
      </c>
      <c r="P44" s="229" t="str">
        <f>IF(ISNUMBER(HLOOKUP(N44,Følsomhedsanalyse!$F$19:$AB$23,4,FALSE)),ROUND(HLOOKUP(N44,Følsomhedsanalyse!$F$19:$AB$23,4,FALSE),-INT(LOG10(ABS(HLOOKUP(N44,Følsomhedsanalyse!$F$19:$AB$23,4,FALSE))))+'Analyser og resultater'!$N$35-1),"")</f>
        <v/>
      </c>
      <c r="Q44" s="196"/>
    </row>
    <row r="45" spans="1:17" ht="12.75" customHeight="1">
      <c r="A45" s="134"/>
      <c r="B45" s="134"/>
      <c r="C45" s="134"/>
      <c r="D45" s="134"/>
      <c r="E45" s="134"/>
      <c r="F45" s="134"/>
      <c r="G45" s="134"/>
      <c r="H45" s="134"/>
      <c r="I45" s="134"/>
      <c r="J45" s="134"/>
      <c r="K45" s="134"/>
      <c r="L45" s="134"/>
      <c r="M45" s="134"/>
      <c r="N45" s="160" t="s">
        <v>34</v>
      </c>
      <c r="O45" s="161">
        <f>VLOOKUP(N45,'Rullelister mm.'!$I$3:$J$24,2,FALSE)</f>
        <v>9</v>
      </c>
      <c r="P45" s="185" t="str">
        <f>IF(ISNUMBER(HLOOKUP(N45,Følsomhedsanalyse!$F$19:$AB$23,4,FALSE)),ROUND(HLOOKUP(N45,Følsomhedsanalyse!$F$19:$AB$23,4,FALSE),-INT(LOG10(ABS(HLOOKUP(N45,Følsomhedsanalyse!$F$19:$AB$23,4,FALSE))))+'Analyser og resultater'!$N$35-1),"")</f>
        <v/>
      </c>
      <c r="Q45" s="196"/>
    </row>
    <row r="46" spans="1:17" ht="12.75" customHeight="1">
      <c r="A46" s="134"/>
      <c r="B46" s="134"/>
      <c r="C46" s="134"/>
      <c r="D46" s="134"/>
      <c r="E46" s="134"/>
      <c r="F46" s="134"/>
      <c r="G46" s="134"/>
      <c r="H46" s="134"/>
      <c r="I46" s="134"/>
      <c r="J46" s="134"/>
      <c r="K46" s="134"/>
      <c r="L46" s="134"/>
      <c r="M46" s="134"/>
      <c r="N46" s="154" t="s">
        <v>32</v>
      </c>
      <c r="O46" s="155">
        <f>VLOOKUP(N46,'Rullelister mm.'!$I$3:$J$24,2,FALSE)</f>
        <v>10</v>
      </c>
      <c r="P46" s="185" t="str">
        <f>IF(ISNUMBER(HLOOKUP(N46,Følsomhedsanalyse!$F$19:$AB$23,4,FALSE)),ROUND(HLOOKUP(N46,Følsomhedsanalyse!$F$19:$AB$23,4,FALSE),-INT(LOG10(ABS(HLOOKUP(N46,Følsomhedsanalyse!$F$19:$AB$23,4,FALSE))))+'Analyser og resultater'!$N$35-1),"")</f>
        <v/>
      </c>
      <c r="Q46" s="196"/>
    </row>
    <row r="47" spans="1:17" ht="12.75" customHeight="1">
      <c r="A47" s="134"/>
      <c r="B47" s="134"/>
      <c r="C47" s="134"/>
      <c r="D47" s="134"/>
      <c r="E47" s="134"/>
      <c r="F47" s="134"/>
      <c r="G47" s="134"/>
      <c r="H47" s="134"/>
      <c r="I47" s="134"/>
      <c r="J47" s="134"/>
      <c r="K47" s="134"/>
      <c r="L47" s="134"/>
      <c r="M47" s="134"/>
      <c r="N47" s="152" t="s">
        <v>35</v>
      </c>
      <c r="O47" s="153">
        <f>VLOOKUP(N47,'Rullelister mm.'!$I$3:$J$24,2,FALSE)</f>
        <v>11</v>
      </c>
      <c r="P47" s="185" t="str">
        <f>IF(ISNUMBER(HLOOKUP(N47,Følsomhedsanalyse!$F$19:$AB$23,4,FALSE)),ROUND(HLOOKUP(N47,Følsomhedsanalyse!$F$19:$AB$23,4,FALSE),-INT(LOG10(ABS(HLOOKUP(N47,Følsomhedsanalyse!$F$19:$AB$23,4,FALSE))))+'Analyser og resultater'!$N$35-1),"")</f>
        <v/>
      </c>
      <c r="Q47" s="196"/>
    </row>
    <row r="48" spans="1:17" ht="12.75" customHeight="1">
      <c r="A48" s="134"/>
      <c r="B48" s="134"/>
      <c r="C48" s="134"/>
      <c r="D48" s="134"/>
      <c r="E48" s="134"/>
      <c r="F48" s="134"/>
      <c r="G48" s="134"/>
      <c r="H48" s="134"/>
      <c r="I48" s="134"/>
      <c r="J48" s="134"/>
      <c r="K48" s="134"/>
      <c r="L48" s="134"/>
      <c r="M48" s="134"/>
      <c r="N48" s="234" t="s">
        <v>36</v>
      </c>
      <c r="O48" s="235">
        <f>VLOOKUP(N48,'Rullelister mm.'!$I$3:$J$24,2,FALSE)</f>
        <v>12</v>
      </c>
      <c r="P48" s="186" t="str">
        <f>IF(ISNUMBER(HLOOKUP(N48,Følsomhedsanalyse!$F$19:$AB$23,4,FALSE)),ROUND(HLOOKUP(N48,Følsomhedsanalyse!$F$19:$AB$23,4,FALSE),-INT(LOG10(ABS(HLOOKUP(N48,Følsomhedsanalyse!$F$19:$AB$23,4,FALSE))))+'Analyser og resultater'!$N$35-1),"")</f>
        <v/>
      </c>
      <c r="Q48" s="196"/>
    </row>
    <row r="49" spans="1:17" ht="12.75" customHeight="1">
      <c r="A49" s="134"/>
      <c r="B49" s="134"/>
      <c r="C49" s="134"/>
      <c r="D49" s="134"/>
      <c r="E49" s="134"/>
      <c r="F49" s="134"/>
      <c r="G49" s="134"/>
      <c r="H49" s="134"/>
      <c r="I49" s="134"/>
      <c r="J49" s="134"/>
      <c r="K49" s="134"/>
      <c r="L49" s="134"/>
      <c r="M49" s="134"/>
      <c r="N49" s="178" t="s">
        <v>28</v>
      </c>
      <c r="O49" s="179">
        <f>VLOOKUP(N49,'Rullelister mm.'!$I$3:$J$24,2,FALSE)</f>
        <v>4</v>
      </c>
      <c r="P49" s="233" t="str">
        <f>IF(ISNUMBER(HLOOKUP(N49,Følsomhedsanalyse!$F$19:$AB$23,4,FALSE)),ROUND(HLOOKUP(N49,Følsomhedsanalyse!$F$19:$AB$23,4,FALSE),-INT(LOG10(ABS(HLOOKUP(N49,Følsomhedsanalyse!$F$19:$AB$23,4,FALSE))))+'Analyser og resultater'!$N$35-1),"")</f>
        <v/>
      </c>
      <c r="Q49" s="196"/>
    </row>
    <row r="50" spans="1:17" ht="12.75" customHeight="1">
      <c r="A50" s="134"/>
      <c r="B50" s="134"/>
      <c r="C50" s="134"/>
      <c r="D50" s="134"/>
      <c r="E50" s="134"/>
      <c r="F50" s="134"/>
      <c r="G50" s="134"/>
      <c r="H50" s="134"/>
      <c r="I50" s="134"/>
      <c r="J50" s="134"/>
      <c r="K50" s="134"/>
      <c r="L50" s="134"/>
      <c r="M50" s="134"/>
      <c r="N50" s="172" t="s">
        <v>33</v>
      </c>
      <c r="O50" s="173">
        <f>VLOOKUP(N50,'Rullelister mm.'!$I$3:$J$24,2,FALSE)</f>
        <v>5</v>
      </c>
      <c r="P50" s="183" t="str">
        <f>IF(ISNUMBER(HLOOKUP(N50,Følsomhedsanalyse!$F$19:$AB$23,4,FALSE)),ROUND(HLOOKUP(N50,Følsomhedsanalyse!$F$19:$AB$23,4,FALSE),-INT(LOG10(ABS(HLOOKUP(N50,Følsomhedsanalyse!$F$19:$AB$23,4,FALSE))))+'Analyser og resultater'!$N$35-1),"")</f>
        <v/>
      </c>
      <c r="Q50" s="196"/>
    </row>
    <row r="51" spans="1:17" ht="12.75" customHeight="1">
      <c r="A51" s="134"/>
      <c r="B51" s="134"/>
      <c r="C51" s="134"/>
      <c r="D51" s="134"/>
      <c r="E51" s="134"/>
      <c r="F51" s="134"/>
      <c r="G51" s="134"/>
      <c r="H51" s="134"/>
      <c r="I51" s="134"/>
      <c r="J51" s="134"/>
      <c r="K51" s="134"/>
      <c r="L51" s="134"/>
      <c r="M51" s="134"/>
      <c r="N51" s="168" t="s">
        <v>13</v>
      </c>
      <c r="O51" s="169">
        <f>VLOOKUP(N51,'Rullelister mm.'!$I$3:$J$24,2,FALSE)</f>
        <v>6</v>
      </c>
      <c r="P51" s="190" t="str">
        <f>IF(ISNUMBER(HLOOKUP(N51,Følsomhedsanalyse!$F$19:$AB$23,4,FALSE)),ROUND(HLOOKUP(N51,Følsomhedsanalyse!$F$19:$AB$23,4,FALSE),-INT(LOG10(ABS(HLOOKUP(N51,Følsomhedsanalyse!$F$19:$AB$23,4,FALSE))))+'Analyser og resultater'!$N$35-1),"")</f>
        <v/>
      </c>
      <c r="Q51" s="196"/>
    </row>
    <row r="52" spans="1:17" ht="12.75" customHeight="1">
      <c r="A52" s="134"/>
      <c r="B52" s="134"/>
      <c r="C52" s="134"/>
      <c r="D52" s="134"/>
      <c r="E52" s="134"/>
      <c r="F52" s="134"/>
      <c r="G52" s="134"/>
      <c r="H52" s="134"/>
      <c r="I52" s="134"/>
      <c r="J52" s="134"/>
      <c r="K52" s="134"/>
      <c r="L52" s="134"/>
      <c r="M52" s="134"/>
      <c r="N52" s="166" t="s">
        <v>31</v>
      </c>
      <c r="O52" s="167">
        <f>VLOOKUP(N52,'Rullelister mm.'!$I$3:$J$24,2,FALSE)</f>
        <v>7</v>
      </c>
      <c r="P52" s="185" t="str">
        <f>IF(ISNUMBER(HLOOKUP(N52,Følsomhedsanalyse!$F$19:$AB$23,4,FALSE)),ROUND(HLOOKUP(N52,Følsomhedsanalyse!$F$19:$AB$23,4,FALSE),-INT(LOG10(ABS(HLOOKUP(N52,Følsomhedsanalyse!$F$19:$AB$23,4,FALSE))))+'Analyser og resultater'!$N$35-1),"")</f>
        <v/>
      </c>
      <c r="Q52" s="196"/>
    </row>
    <row r="53" spans="1:17" ht="12.75" customHeight="1">
      <c r="A53" s="134"/>
      <c r="B53" s="134"/>
      <c r="C53" s="134"/>
      <c r="D53" s="134"/>
      <c r="E53" s="134"/>
      <c r="F53" s="134"/>
      <c r="G53" s="134"/>
      <c r="H53" s="134"/>
      <c r="I53" s="134"/>
      <c r="J53" s="134"/>
      <c r="K53" s="134"/>
      <c r="L53" s="134"/>
      <c r="M53" s="134"/>
      <c r="N53" s="237" t="s">
        <v>0</v>
      </c>
      <c r="O53" s="238">
        <f>VLOOKUP(N53,'Rullelister mm.'!$I$3:$J$24,2,FALSE)</f>
        <v>8</v>
      </c>
      <c r="P53" s="232" t="str">
        <f>IF(ISNUMBER(HLOOKUP(N53,Følsomhedsanalyse!$F$19:$AB$23,4,FALSE)),ROUND(HLOOKUP(N53,Følsomhedsanalyse!$F$19:$AB$23,4,FALSE),-INT(LOG10(ABS(HLOOKUP(N53,Følsomhedsanalyse!$F$19:$AB$23,4,FALSE))))+'Analyser og resultater'!$N$35-1),"")</f>
        <v/>
      </c>
      <c r="Q53" s="196"/>
    </row>
    <row r="54" spans="1:17" ht="12.75" customHeight="1">
      <c r="A54" s="134"/>
      <c r="B54" s="134"/>
      <c r="C54" s="134"/>
      <c r="D54" s="134"/>
      <c r="E54" s="134"/>
      <c r="F54" s="134"/>
      <c r="G54" s="134"/>
      <c r="H54" s="134"/>
      <c r="I54" s="134"/>
      <c r="J54" s="134"/>
      <c r="K54" s="134"/>
      <c r="L54" s="134"/>
      <c r="M54" s="134"/>
      <c r="N54" s="158" t="s">
        <v>27</v>
      </c>
      <c r="O54" s="159">
        <f>VLOOKUP(N54,'Rullelister mm.'!$I$3:$J$24,2,FALSE)</f>
        <v>9</v>
      </c>
      <c r="P54" s="236" t="str">
        <f>IF(ISNUMBER(HLOOKUP(N54,Følsomhedsanalyse!$F$19:$AB$23,4,FALSE)),ROUND(HLOOKUP(N54,Følsomhedsanalyse!$F$19:$AB$23,4,FALSE),-INT(LOG10(ABS(HLOOKUP(N54,Følsomhedsanalyse!$F$19:$AB$23,4,FALSE))))+'Analyser og resultater'!$N$35-1),"")</f>
        <v/>
      </c>
      <c r="Q54" s="196"/>
    </row>
    <row r="55" spans="1:17" ht="12.75" customHeight="1">
      <c r="A55" s="134"/>
      <c r="B55" s="134"/>
      <c r="C55" s="134"/>
      <c r="D55" s="134"/>
      <c r="E55" s="134"/>
      <c r="F55" s="134"/>
      <c r="G55" s="134"/>
      <c r="H55" s="134"/>
      <c r="I55" s="134"/>
      <c r="J55" s="134"/>
      <c r="K55" s="134"/>
      <c r="L55" s="134"/>
      <c r="M55" s="134"/>
      <c r="N55" s="156" t="s">
        <v>29</v>
      </c>
      <c r="O55" s="157">
        <f>VLOOKUP(N55,'Rullelister mm.'!$I$3:$J$24,2,FALSE)</f>
        <v>10</v>
      </c>
      <c r="P55" s="185" t="str">
        <f>IF(ISNUMBER(HLOOKUP(N55,Følsomhedsanalyse!$F$19:$AB$23,4,FALSE)),ROUND(HLOOKUP(N55,Følsomhedsanalyse!$F$19:$AB$23,4,FALSE),-INT(LOG10(ABS(HLOOKUP(N55,Følsomhedsanalyse!$F$19:$AB$23,4,FALSE))))+'Analyser og resultater'!$N$35-1),"")</f>
        <v/>
      </c>
      <c r="Q55" s="196"/>
    </row>
    <row r="56" spans="1:17" ht="12.75" customHeight="1">
      <c r="A56" s="134"/>
      <c r="B56" s="134"/>
      <c r="C56" s="134"/>
      <c r="D56" s="134"/>
      <c r="E56" s="134"/>
      <c r="F56" s="134"/>
      <c r="G56" s="134"/>
      <c r="H56" s="134"/>
      <c r="I56" s="134"/>
      <c r="J56" s="134"/>
      <c r="K56" s="134"/>
      <c r="L56" s="134"/>
      <c r="M56" s="134"/>
      <c r="N56" s="150" t="s">
        <v>37</v>
      </c>
      <c r="O56" s="151">
        <f>VLOOKUP(N56,'Rullelister mm.'!$I$3:$J$24,2,FALSE)</f>
        <v>11</v>
      </c>
      <c r="P56" s="185" t="str">
        <f>IF(ISNUMBER(HLOOKUP(N56,Følsomhedsanalyse!$F$19:$AB$23,4,FALSE)),ROUND(HLOOKUP(N56,Følsomhedsanalyse!$F$19:$AB$23,4,FALSE),-INT(LOG10(ABS(HLOOKUP(N56,Følsomhedsanalyse!$F$19:$AB$23,4,FALSE))))+'Analyser og resultater'!$N$35-1),"")</f>
        <v/>
      </c>
      <c r="Q56" s="196"/>
    </row>
    <row r="57" spans="1:17" ht="12.75" customHeight="1">
      <c r="A57" s="134"/>
      <c r="B57" s="134"/>
      <c r="C57" s="134"/>
      <c r="D57" s="134"/>
      <c r="E57" s="134"/>
      <c r="F57" s="134"/>
      <c r="G57" s="134"/>
      <c r="H57" s="134"/>
      <c r="I57" s="134"/>
      <c r="J57" s="134"/>
      <c r="K57" s="134"/>
      <c r="L57" s="134"/>
      <c r="M57" s="134"/>
      <c r="N57" s="148" t="s">
        <v>38</v>
      </c>
      <c r="O57" s="149">
        <f>VLOOKUP(N57,'Rullelister mm.'!$I$3:$J$24,2,FALSE)</f>
        <v>12</v>
      </c>
      <c r="P57" s="185" t="str">
        <f>IF(ISNUMBER(HLOOKUP(N57,Følsomhedsanalyse!$F$19:$AB$23,4,FALSE)),ROUND(HLOOKUP(N57,Følsomhedsanalyse!$F$19:$AB$23,4,FALSE),-INT(LOG10(ABS(HLOOKUP(N57,Følsomhedsanalyse!$F$19:$AB$23,4,FALSE))))+'Analyser og resultater'!$N$35-1),"")</f>
        <v/>
      </c>
      <c r="Q57" s="196"/>
    </row>
    <row r="58" spans="1:17" ht="12.75" customHeight="1">
      <c r="A58" s="134"/>
      <c r="B58" s="134"/>
      <c r="C58" s="134"/>
      <c r="D58" s="134"/>
      <c r="E58" s="134"/>
      <c r="F58" s="134"/>
      <c r="G58" s="134"/>
      <c r="H58" s="134"/>
      <c r="I58" s="134"/>
      <c r="J58" s="134"/>
      <c r="K58" s="134"/>
      <c r="L58" s="134"/>
      <c r="M58" s="134"/>
      <c r="N58" s="239" t="s">
        <v>39</v>
      </c>
      <c r="O58" s="240">
        <f>VLOOKUP(N58,'Rullelister mm.'!$I$3:$J$24,2,FALSE)</f>
        <v>13</v>
      </c>
      <c r="P58" s="186" t="str">
        <f>IF(ISNUMBER(HLOOKUP(N58,Følsomhedsanalyse!$F$19:$AB$23,4,FALSE)),ROUND(HLOOKUP(N58,Følsomhedsanalyse!$F$19:$AB$23,4,FALSE),-INT(LOG10(ABS(HLOOKUP(N58,Følsomhedsanalyse!$F$19:$AB$23,4,FALSE))))+'Analyser og resultater'!$N$35-1),"")</f>
        <v/>
      </c>
      <c r="Q58" s="196"/>
    </row>
    <row r="59" spans="1:17" ht="12.75" customHeight="1">
      <c r="A59" s="134"/>
      <c r="B59" s="134"/>
      <c r="C59" s="134"/>
      <c r="D59" s="134"/>
      <c r="E59" s="134"/>
      <c r="F59" s="134"/>
      <c r="G59" s="134"/>
      <c r="H59" s="134"/>
      <c r="I59" s="134"/>
      <c r="J59" s="134"/>
      <c r="K59" s="134"/>
      <c r="L59" s="134"/>
      <c r="M59" s="134"/>
      <c r="N59" s="241" t="s">
        <v>61</v>
      </c>
      <c r="O59" s="242">
        <f>VLOOKUP(N59,'Rullelister mm.'!$I$3:$J$24,2,FALSE)</f>
        <v>6</v>
      </c>
      <c r="P59" s="243" t="str">
        <f>IF(ISNUMBER(HLOOKUP(N59,Følsomhedsanalyse!$F$19:$AB$23,4,FALSE)),ROUND(HLOOKUP(N59,Følsomhedsanalyse!$F$19:$AB$23,4,FALSE),-INT(LOG10(ABS(HLOOKUP(N59,Følsomhedsanalyse!$F$19:$AB$23,4,FALSE))))+'Analyser og resultater'!$N$35-1),"")</f>
        <v/>
      </c>
      <c r="Q59" s="196"/>
    </row>
    <row r="60" spans="1:17" ht="12.75" customHeight="1">
      <c r="A60" s="134"/>
      <c r="B60" s="134"/>
      <c r="C60" s="134"/>
      <c r="D60" s="134"/>
      <c r="E60" s="134"/>
      <c r="F60" s="134"/>
      <c r="G60" s="134"/>
      <c r="H60" s="134"/>
      <c r="I60" s="134"/>
      <c r="J60" s="134"/>
      <c r="K60" s="134"/>
      <c r="L60" s="134"/>
      <c r="M60" s="134"/>
      <c r="N60" s="164" t="s">
        <v>30</v>
      </c>
      <c r="O60" s="165">
        <f>VLOOKUP(N60,'Rullelister mm.'!$I$3:$J$24,2,FALSE)</f>
        <v>8</v>
      </c>
      <c r="P60" s="236" t="str">
        <f>IF(ISNUMBER(HLOOKUP(N60,Følsomhedsanalyse!$F$19:$AB$23,4,FALSE)),ROUND(HLOOKUP(N60,Følsomhedsanalyse!$F$19:$AB$23,4,FALSE),-INT(LOG10(ABS(HLOOKUP(N60,Følsomhedsanalyse!$F$19:$AB$23,4,FALSE))))+'Analyser og resultater'!$N$35-1),"")</f>
        <v/>
      </c>
      <c r="Q60" s="196"/>
    </row>
    <row r="61" spans="1:17" ht="12.75" customHeight="1">
      <c r="A61" s="134"/>
      <c r="B61" s="134"/>
      <c r="C61" s="134"/>
      <c r="D61" s="134"/>
      <c r="E61" s="134"/>
      <c r="F61" s="134"/>
      <c r="G61" s="134"/>
      <c r="H61" s="134"/>
      <c r="I61" s="134"/>
      <c r="J61" s="134"/>
      <c r="K61" s="134"/>
      <c r="L61" s="134"/>
      <c r="M61" s="134"/>
      <c r="N61" s="191" t="s">
        <v>406</v>
      </c>
      <c r="O61" s="191"/>
      <c r="P61" s="192" t="str">
        <f>IF(SUM(P43,P44,P51,P53)=0,"",IF(ISNUMBER(SUM(P51,P43,P44,P53)),ROUND(SUM(P51,P43,P44,P53),-INT(LOG10(ABS(SUM(P51,P43,P44,P53))))+'Analyser og resultater'!$N$35-1),""))</f>
        <v/>
      </c>
      <c r="Q61" s="196"/>
    </row>
    <row r="62" spans="1:17" ht="12.75" customHeight="1">
      <c r="A62" s="134"/>
      <c r="B62" s="134"/>
      <c r="C62" s="134"/>
      <c r="D62" s="134"/>
      <c r="E62" s="134"/>
      <c r="F62" s="134"/>
      <c r="G62" s="134"/>
      <c r="H62" s="134"/>
      <c r="I62" s="134"/>
      <c r="J62" s="134"/>
      <c r="K62" s="134"/>
      <c r="L62" s="134"/>
      <c r="M62" s="134"/>
      <c r="N62" s="193" t="s">
        <v>407</v>
      </c>
      <c r="O62" s="193"/>
      <c r="P62" s="194" t="str">
        <f>IF(SUM(P39:P60)=0,"",IF(ISNUMBER(SUM(P39:P60)),ROUND(SUM(P39:P60),-INT(LOG10(ABS(SUM(P39:P60))))+'Analyser og resultater'!$N$35-1),""))</f>
        <v/>
      </c>
      <c r="Q62" s="196"/>
    </row>
    <row r="63" spans="1:17" ht="12.75" customHeight="1">
      <c r="A63" s="134"/>
      <c r="B63" s="134"/>
      <c r="C63" s="134"/>
      <c r="D63" s="134"/>
      <c r="E63" s="134"/>
      <c r="F63" s="134"/>
      <c r="G63" s="134"/>
      <c r="H63" s="134"/>
      <c r="I63" s="134"/>
      <c r="J63" s="134"/>
      <c r="K63" s="134"/>
      <c r="L63" s="134"/>
      <c r="M63" s="134"/>
      <c r="N63"/>
      <c r="O63" s="134"/>
      <c r="P63" s="187" t="s">
        <v>409</v>
      </c>
      <c r="Q63" s="196"/>
    </row>
    <row r="64" spans="1:17" ht="12.75" customHeight="1">
      <c r="A64" s="134"/>
      <c r="B64" s="134"/>
      <c r="C64" s="134"/>
      <c r="D64" s="134"/>
      <c r="E64" s="134"/>
      <c r="F64" s="134"/>
      <c r="G64" s="134"/>
      <c r="H64" s="134"/>
      <c r="I64" s="134"/>
      <c r="J64" s="134"/>
      <c r="K64" s="134"/>
      <c r="L64" s="134"/>
      <c r="M64" s="134"/>
      <c r="N64" s="134"/>
      <c r="O64" s="134"/>
      <c r="P64" s="134"/>
      <c r="Q64" s="196"/>
    </row>
    <row r="65" spans="1:17" ht="12.75" customHeight="1">
      <c r="A65" s="134"/>
      <c r="B65" s="134"/>
      <c r="C65" s="134"/>
      <c r="D65" s="134"/>
      <c r="E65" s="134"/>
      <c r="F65" s="134"/>
      <c r="G65" s="134"/>
      <c r="H65" s="134"/>
      <c r="I65" s="134"/>
      <c r="J65" s="134"/>
      <c r="K65" s="134"/>
      <c r="L65" s="134"/>
      <c r="M65" s="134"/>
      <c r="N65" s="134"/>
      <c r="O65" s="134"/>
      <c r="P65" s="134"/>
      <c r="Q65" s="196"/>
    </row>
    <row r="66" spans="1:17" ht="15" customHeight="1">
      <c r="A66" s="134"/>
      <c r="B66" s="134"/>
      <c r="C66" s="134"/>
      <c r="D66" s="134"/>
      <c r="E66" s="134"/>
      <c r="F66" s="134"/>
      <c r="G66" s="134"/>
      <c r="H66" s="134"/>
      <c r="I66" s="134"/>
      <c r="J66" s="134"/>
      <c r="K66" s="134"/>
      <c r="L66" s="134"/>
      <c r="M66" s="134"/>
      <c r="N66" s="134"/>
      <c r="O66" s="134"/>
      <c r="P66" s="134"/>
      <c r="Q66" s="196"/>
    </row>
    <row r="67" spans="1:17" ht="12.75" customHeight="1">
      <c r="A67" s="134"/>
      <c r="B67" s="134"/>
      <c r="C67" s="134"/>
      <c r="D67" s="134"/>
      <c r="E67" s="134"/>
      <c r="F67" s="134"/>
      <c r="G67" s="134"/>
      <c r="H67" s="134"/>
      <c r="I67" s="134"/>
      <c r="J67" s="134"/>
      <c r="K67" s="134"/>
      <c r="L67" s="134"/>
      <c r="M67" s="134"/>
      <c r="N67" s="134"/>
      <c r="O67" s="134"/>
      <c r="P67" s="134"/>
      <c r="Q67" s="196"/>
    </row>
    <row r="68" spans="1:17" ht="12.75" customHeight="1">
      <c r="A68" s="134"/>
      <c r="B68" s="134"/>
      <c r="C68" s="134"/>
      <c r="D68" s="134"/>
      <c r="E68" s="134"/>
      <c r="F68" s="134"/>
      <c r="G68" s="134"/>
      <c r="H68" s="134"/>
      <c r="I68" s="134"/>
      <c r="J68" s="134"/>
      <c r="K68" s="134"/>
      <c r="L68" s="134"/>
      <c r="M68" s="134"/>
      <c r="N68" s="134"/>
      <c r="O68" s="134"/>
      <c r="P68" s="134"/>
      <c r="Q68" s="196"/>
    </row>
    <row r="69" spans="1:17" ht="12.75" customHeight="1">
      <c r="A69" s="134"/>
      <c r="B69" s="134"/>
      <c r="C69" s="134"/>
      <c r="D69" s="134"/>
      <c r="E69" s="134"/>
      <c r="F69" s="134"/>
      <c r="G69" s="134"/>
      <c r="H69" s="134"/>
      <c r="I69" s="134"/>
      <c r="J69" s="134"/>
      <c r="K69" s="134"/>
      <c r="L69" s="134"/>
      <c r="M69" s="134"/>
      <c r="N69" s="134"/>
      <c r="O69" s="134"/>
      <c r="P69" s="134"/>
      <c r="Q69" s="196"/>
    </row>
    <row r="70" spans="1:17" ht="12.75" customHeight="1">
      <c r="A70" s="134"/>
      <c r="B70" s="134"/>
      <c r="C70" s="134"/>
      <c r="D70" s="134"/>
      <c r="E70" s="134"/>
      <c r="F70" s="134"/>
      <c r="G70" s="134"/>
      <c r="H70" s="134"/>
      <c r="I70" s="134"/>
      <c r="J70" s="134"/>
      <c r="K70" s="134"/>
      <c r="L70" s="134"/>
      <c r="M70" s="134"/>
      <c r="N70" s="146"/>
      <c r="O70" s="146"/>
      <c r="P70" s="147" t="s">
        <v>194</v>
      </c>
      <c r="Q70" s="196"/>
    </row>
    <row r="71" spans="1:17" ht="12.75" customHeight="1">
      <c r="A71" s="134"/>
      <c r="B71" s="134"/>
      <c r="C71" s="134"/>
      <c r="D71" s="134"/>
      <c r="E71" s="134"/>
      <c r="F71" s="134"/>
      <c r="G71" s="134"/>
      <c r="H71" s="134"/>
      <c r="I71" s="134"/>
      <c r="J71" s="134"/>
      <c r="K71" s="134"/>
      <c r="L71" s="134"/>
      <c r="M71" s="134"/>
      <c r="N71" s="144" t="s">
        <v>195</v>
      </c>
      <c r="O71" s="144" t="s">
        <v>196</v>
      </c>
      <c r="P71" s="145" t="s">
        <v>375</v>
      </c>
      <c r="Q71" s="196"/>
    </row>
    <row r="72" spans="1:17" ht="12.75" customHeight="1">
      <c r="A72" s="134"/>
      <c r="B72" s="134"/>
      <c r="C72" s="134"/>
      <c r="D72" s="134"/>
      <c r="E72" s="134"/>
      <c r="F72" s="134"/>
      <c r="G72" s="134"/>
      <c r="H72" s="134"/>
      <c r="I72" s="134"/>
      <c r="J72" s="134"/>
      <c r="K72" s="134"/>
      <c r="L72" s="134"/>
      <c r="M72" s="134"/>
      <c r="N72" s="180" t="s">
        <v>10</v>
      </c>
      <c r="O72" s="181">
        <f>VLOOKUP(N72,'Rullelister mm.'!$I$3:$J$24,2,FALSE)</f>
        <v>3</v>
      </c>
      <c r="P72" s="184" t="str">
        <f>IF(ISNUMBER(HLOOKUP(N72,Følsomhedsanalyse!$F$19:$AB$23,5,FALSE)),ROUND(HLOOKUP(N72,Følsomhedsanalyse!$F$19:$AB$23,5,FALSE),-INT(LOG10(ABS(HLOOKUP(N72,Følsomhedsanalyse!$F$19:$AB$23,5,FALSE))))+'Analyser og resultater'!$N$35-1),"")</f>
        <v/>
      </c>
      <c r="Q72" s="196"/>
    </row>
    <row r="73" spans="1:17" ht="12.75" customHeight="1">
      <c r="A73" s="134"/>
      <c r="B73" s="134"/>
      <c r="C73" s="134"/>
      <c r="D73" s="134"/>
      <c r="E73" s="134"/>
      <c r="F73" s="134"/>
      <c r="G73" s="134"/>
      <c r="H73" s="134"/>
      <c r="I73" s="134"/>
      <c r="J73" s="134"/>
      <c r="K73" s="134"/>
      <c r="L73" s="134"/>
      <c r="M73" s="134"/>
      <c r="N73" s="176" t="s">
        <v>11</v>
      </c>
      <c r="O73" s="177">
        <f>VLOOKUP(N73,'Rullelister mm.'!$I$3:$J$24,2,FALSE)</f>
        <v>4</v>
      </c>
      <c r="P73" s="183" t="str">
        <f>IF(ISNUMBER(HLOOKUP(N73,Følsomhedsanalyse!$F$19:$AB$23,5,FALSE)),ROUND(HLOOKUP(N73,Følsomhedsanalyse!$F$19:$AB$23,5,FALSE),-INT(LOG10(ABS(HLOOKUP(N73,Følsomhedsanalyse!$F$19:$AB$23,5,FALSE))))+'Analyser og resultater'!$N$35-1),"")</f>
        <v/>
      </c>
      <c r="Q73" s="196"/>
    </row>
    <row r="74" spans="1:17" ht="12.75" customHeight="1">
      <c r="A74" s="134"/>
      <c r="B74" s="134"/>
      <c r="C74" s="134"/>
      <c r="D74" s="134"/>
      <c r="E74" s="134"/>
      <c r="F74" s="134"/>
      <c r="G74" s="134"/>
      <c r="H74" s="134"/>
      <c r="I74" s="134"/>
      <c r="J74" s="134"/>
      <c r="K74" s="134"/>
      <c r="L74" s="134"/>
      <c r="M74" s="134"/>
      <c r="N74" s="174" t="s">
        <v>12</v>
      </c>
      <c r="O74" s="175">
        <f>VLOOKUP(N74,'Rullelister mm.'!$I$3:$J$24,2,FALSE)</f>
        <v>5</v>
      </c>
      <c r="P74" s="183" t="str">
        <f>IF(ISNUMBER(HLOOKUP(N74,Følsomhedsanalyse!$F$19:$AB$23,5,FALSE)),ROUND(HLOOKUP(N74,Følsomhedsanalyse!$F$19:$AB$23,5,FALSE),-INT(LOG10(ABS(HLOOKUP(N74,Følsomhedsanalyse!$F$19:$AB$23,5,FALSE))))+'Analyser og resultater'!$N$35-1),"")</f>
        <v/>
      </c>
      <c r="Q74" s="196"/>
    </row>
    <row r="75" spans="1:17" ht="12.75" customHeight="1">
      <c r="A75" s="134"/>
      <c r="B75" s="134"/>
      <c r="C75" s="134"/>
      <c r="D75" s="134"/>
      <c r="E75" s="134"/>
      <c r="F75" s="134"/>
      <c r="G75" s="134"/>
      <c r="H75" s="134"/>
      <c r="I75" s="134"/>
      <c r="J75" s="134"/>
      <c r="K75" s="134"/>
      <c r="L75" s="134"/>
      <c r="M75" s="134"/>
      <c r="N75" s="170" t="s">
        <v>14</v>
      </c>
      <c r="O75" s="171">
        <f>VLOOKUP(N75,'Rullelister mm.'!$I$3:$J$24,2,FALSE)</f>
        <v>6</v>
      </c>
      <c r="P75" s="182" t="str">
        <f>IF(ISNUMBER(HLOOKUP(N75,Følsomhedsanalyse!$F$19:$AB$23,5,FALSE)),ROUND(HLOOKUP(N75,Følsomhedsanalyse!$F$19:$AB$23,5,FALSE),-INT(LOG10(ABS(HLOOKUP(N75,Følsomhedsanalyse!$F$19:$AB$23,5,FALSE))))+'Analyser og resultater'!$N$35-1),"")</f>
        <v/>
      </c>
      <c r="Q75" s="196"/>
    </row>
    <row r="76" spans="1:17" ht="12.75" customHeight="1">
      <c r="A76" s="134"/>
      <c r="B76" s="134"/>
      <c r="C76" s="134"/>
      <c r="D76" s="134"/>
      <c r="E76" s="134"/>
      <c r="F76" s="134"/>
      <c r="G76" s="134"/>
      <c r="H76" s="134"/>
      <c r="I76" s="134"/>
      <c r="J76" s="134"/>
      <c r="K76" s="134"/>
      <c r="L76" s="134"/>
      <c r="M76" s="134"/>
      <c r="N76" s="230" t="s">
        <v>7</v>
      </c>
      <c r="O76" s="231">
        <f>VLOOKUP(N76,'Rullelister mm.'!$I$3:$J$24,2,FALSE)</f>
        <v>7</v>
      </c>
      <c r="P76" s="232" t="str">
        <f>IF(ISNUMBER(HLOOKUP(N76,Følsomhedsanalyse!$F$19:$AB$23,5,FALSE)),ROUND(HLOOKUP(N76,Følsomhedsanalyse!$F$19:$AB$23,5,FALSE),-INT(LOG10(ABS(HLOOKUP(N76,Følsomhedsanalyse!$F$19:$AB$23,5,FALSE))))+'Analyser og resultater'!$N$35-1),"")</f>
        <v/>
      </c>
      <c r="Q76" s="196"/>
    </row>
    <row r="77" spans="1:17" ht="12.75" customHeight="1">
      <c r="A77" s="134"/>
      <c r="B77" s="134"/>
      <c r="C77" s="134"/>
      <c r="D77" s="134"/>
      <c r="E77" s="134"/>
      <c r="F77" s="134"/>
      <c r="G77" s="134"/>
      <c r="H77" s="134"/>
      <c r="I77" s="134"/>
      <c r="J77" s="134"/>
      <c r="K77" s="134"/>
      <c r="L77" s="134"/>
      <c r="M77" s="134"/>
      <c r="N77" s="162" t="s">
        <v>15</v>
      </c>
      <c r="O77" s="163">
        <f>VLOOKUP(N77,'Rullelister mm.'!$I$3:$J$24,2,FALSE)</f>
        <v>8</v>
      </c>
      <c r="P77" s="229" t="str">
        <f>IF(ISNUMBER(HLOOKUP(N77,Følsomhedsanalyse!$F$19:$AB$23,5,FALSE)),ROUND(HLOOKUP(N77,Følsomhedsanalyse!$F$19:$AB$23,5,FALSE),-INT(LOG10(ABS(HLOOKUP(N77,Følsomhedsanalyse!$F$19:$AB$23,5,FALSE))))+'Analyser og resultater'!$N$35-1),"")</f>
        <v/>
      </c>
      <c r="Q77" s="196"/>
    </row>
    <row r="78" spans="1:17" ht="12.75" customHeight="1">
      <c r="A78" s="134"/>
      <c r="B78" s="134"/>
      <c r="C78" s="134"/>
      <c r="D78" s="134"/>
      <c r="E78" s="134"/>
      <c r="F78" s="134"/>
      <c r="G78" s="134"/>
      <c r="H78" s="134"/>
      <c r="I78" s="134"/>
      <c r="J78" s="134"/>
      <c r="K78" s="134"/>
      <c r="L78" s="134"/>
      <c r="M78" s="134"/>
      <c r="N78" s="160" t="s">
        <v>34</v>
      </c>
      <c r="O78" s="161">
        <f>VLOOKUP(N78,'Rullelister mm.'!$I$3:$J$24,2,FALSE)</f>
        <v>9</v>
      </c>
      <c r="P78" s="185" t="str">
        <f>IF(ISNUMBER(HLOOKUP(N78,Følsomhedsanalyse!$F$19:$AB$23,5,FALSE)),ROUND(HLOOKUP(N78,Følsomhedsanalyse!$F$19:$AB$23,5,FALSE),-INT(LOG10(ABS(HLOOKUP(N78,Følsomhedsanalyse!$F$19:$AB$23,5,FALSE))))+'Analyser og resultater'!$N$35-1),"")</f>
        <v/>
      </c>
      <c r="Q78" s="196"/>
    </row>
    <row r="79" spans="1:17" ht="12.75" customHeight="1">
      <c r="A79" s="134"/>
      <c r="B79" s="134"/>
      <c r="C79" s="134"/>
      <c r="D79" s="134"/>
      <c r="E79" s="134"/>
      <c r="F79" s="134"/>
      <c r="G79" s="134"/>
      <c r="H79" s="134"/>
      <c r="I79" s="134"/>
      <c r="J79" s="134"/>
      <c r="K79" s="134"/>
      <c r="L79" s="134"/>
      <c r="M79" s="134"/>
      <c r="N79" s="154" t="s">
        <v>32</v>
      </c>
      <c r="O79" s="155">
        <f>VLOOKUP(N79,'Rullelister mm.'!$I$3:$J$24,2,FALSE)</f>
        <v>10</v>
      </c>
      <c r="P79" s="185" t="str">
        <f>IF(ISNUMBER(HLOOKUP(N79,Følsomhedsanalyse!$F$19:$AB$23,5,FALSE)),ROUND(HLOOKUP(N79,Følsomhedsanalyse!$F$19:$AB$23,5,FALSE),-INT(LOG10(ABS(HLOOKUP(N79,Følsomhedsanalyse!$F$19:$AB$23,5,FALSE))))+'Analyser og resultater'!$N$35-1),"")</f>
        <v/>
      </c>
      <c r="Q79" s="196"/>
    </row>
    <row r="80" spans="1:17" ht="12.75" customHeight="1">
      <c r="A80" s="134"/>
      <c r="B80" s="134"/>
      <c r="C80" s="134"/>
      <c r="D80" s="134"/>
      <c r="E80" s="134"/>
      <c r="F80" s="134"/>
      <c r="G80" s="134"/>
      <c r="H80" s="134"/>
      <c r="I80" s="134"/>
      <c r="J80" s="134"/>
      <c r="K80" s="134"/>
      <c r="L80" s="134"/>
      <c r="M80" s="134"/>
      <c r="N80" s="152" t="s">
        <v>35</v>
      </c>
      <c r="O80" s="153">
        <f>VLOOKUP(N80,'Rullelister mm.'!$I$3:$J$24,2,FALSE)</f>
        <v>11</v>
      </c>
      <c r="P80" s="185" t="str">
        <f>IF(ISNUMBER(HLOOKUP(N80,Følsomhedsanalyse!$F$19:$AB$23,5,FALSE)),ROUND(HLOOKUP(N80,Følsomhedsanalyse!$F$19:$AB$23,5,FALSE),-INT(LOG10(ABS(HLOOKUP(N80,Følsomhedsanalyse!$F$19:$AB$23,5,FALSE))))+'Analyser og resultater'!$N$35-1),"")</f>
        <v/>
      </c>
      <c r="Q80" s="196"/>
    </row>
    <row r="81" spans="1:17" ht="12.75" customHeight="1">
      <c r="A81" s="134"/>
      <c r="B81" s="134"/>
      <c r="C81" s="134"/>
      <c r="D81" s="134"/>
      <c r="E81" s="134"/>
      <c r="F81" s="134"/>
      <c r="G81" s="134"/>
      <c r="H81" s="134"/>
      <c r="I81" s="134"/>
      <c r="J81" s="134"/>
      <c r="K81" s="134"/>
      <c r="L81" s="134"/>
      <c r="M81" s="134"/>
      <c r="N81" s="234" t="s">
        <v>36</v>
      </c>
      <c r="O81" s="235">
        <f>VLOOKUP(N81,'Rullelister mm.'!$I$3:$J$24,2,FALSE)</f>
        <v>12</v>
      </c>
      <c r="P81" s="186" t="str">
        <f>IF(ISNUMBER(HLOOKUP(N81,Følsomhedsanalyse!$F$19:$AB$23,5,FALSE)),ROUND(HLOOKUP(N81,Følsomhedsanalyse!$F$19:$AB$23,5,FALSE),-INT(LOG10(ABS(HLOOKUP(N81,Følsomhedsanalyse!$F$19:$AB$23,5,FALSE))))+'Analyser og resultater'!$N$35-1),"")</f>
        <v/>
      </c>
      <c r="Q81" s="196"/>
    </row>
    <row r="82" spans="1:17" ht="12.75" customHeight="1">
      <c r="A82" s="134"/>
      <c r="B82" s="134"/>
      <c r="C82" s="134"/>
      <c r="D82" s="134"/>
      <c r="E82" s="134"/>
      <c r="F82" s="134"/>
      <c r="G82" s="134"/>
      <c r="H82" s="134"/>
      <c r="I82" s="134"/>
      <c r="J82" s="134"/>
      <c r="K82" s="134"/>
      <c r="L82" s="134"/>
      <c r="M82" s="134"/>
      <c r="N82" s="178" t="s">
        <v>28</v>
      </c>
      <c r="O82" s="179">
        <f>VLOOKUP(N82,'Rullelister mm.'!$I$3:$J$24,2,FALSE)</f>
        <v>4</v>
      </c>
      <c r="P82" s="233" t="str">
        <f>IF(ISNUMBER(HLOOKUP(N82,Følsomhedsanalyse!$F$19:$AB$23,5,FALSE)),ROUND(HLOOKUP(N82,Følsomhedsanalyse!$F$19:$AB$23,5,FALSE),-INT(LOG10(ABS(HLOOKUP(N82,Følsomhedsanalyse!$F$19:$AB$23,5,FALSE))))+'Analyser og resultater'!$N$35-1),"")</f>
        <v/>
      </c>
      <c r="Q82" s="196"/>
    </row>
    <row r="83" spans="1:17" ht="12.75" customHeight="1">
      <c r="A83" s="134"/>
      <c r="B83" s="134"/>
      <c r="C83" s="134"/>
      <c r="D83" s="134"/>
      <c r="E83" s="134"/>
      <c r="F83" s="134"/>
      <c r="G83" s="134"/>
      <c r="H83" s="134"/>
      <c r="I83" s="134"/>
      <c r="J83" s="134"/>
      <c r="K83" s="134"/>
      <c r="L83" s="134"/>
      <c r="M83" s="134"/>
      <c r="N83" s="172" t="s">
        <v>33</v>
      </c>
      <c r="O83" s="173">
        <f>VLOOKUP(N83,'Rullelister mm.'!$I$3:$J$24,2,FALSE)</f>
        <v>5</v>
      </c>
      <c r="P83" s="183" t="str">
        <f>IF(ISNUMBER(HLOOKUP(N83,Følsomhedsanalyse!$F$19:$AB$23,5,FALSE)),ROUND(HLOOKUP(N83,Følsomhedsanalyse!$F$19:$AB$23,5,FALSE),-INT(LOG10(ABS(HLOOKUP(N83,Følsomhedsanalyse!$F$19:$AB$23,5,FALSE))))+'Analyser og resultater'!$N$35-1),"")</f>
        <v/>
      </c>
      <c r="Q83" s="196"/>
    </row>
    <row r="84" spans="1:17" ht="12.75" customHeight="1">
      <c r="A84" s="134"/>
      <c r="B84" s="134"/>
      <c r="C84" s="134"/>
      <c r="D84" s="134"/>
      <c r="E84" s="134"/>
      <c r="F84" s="134"/>
      <c r="G84" s="134"/>
      <c r="H84" s="134"/>
      <c r="I84" s="134"/>
      <c r="J84" s="134"/>
      <c r="K84" s="134"/>
      <c r="L84" s="134"/>
      <c r="M84" s="134"/>
      <c r="N84" s="168" t="s">
        <v>13</v>
      </c>
      <c r="O84" s="169">
        <f>VLOOKUP(N84,'Rullelister mm.'!$I$3:$J$24,2,FALSE)</f>
        <v>6</v>
      </c>
      <c r="P84" s="190" t="str">
        <f>IF(ISNUMBER(HLOOKUP(N84,Følsomhedsanalyse!$F$19:$AB$23,5,FALSE)),ROUND(HLOOKUP(N84,Følsomhedsanalyse!$F$19:$AB$23,5,FALSE),-INT(LOG10(ABS(HLOOKUP(N84,Følsomhedsanalyse!$F$19:$AB$23,5,FALSE))))+'Analyser og resultater'!$N$35-1),"")</f>
        <v/>
      </c>
      <c r="Q84" s="196"/>
    </row>
    <row r="85" spans="1:17" ht="12.75" customHeight="1">
      <c r="A85" s="134"/>
      <c r="B85" s="134"/>
      <c r="C85" s="134"/>
      <c r="D85" s="134"/>
      <c r="E85" s="134"/>
      <c r="F85" s="134"/>
      <c r="G85" s="134"/>
      <c r="H85" s="134"/>
      <c r="I85" s="134"/>
      <c r="J85" s="134"/>
      <c r="K85" s="134"/>
      <c r="L85" s="134"/>
      <c r="M85" s="134"/>
      <c r="N85" s="166" t="s">
        <v>31</v>
      </c>
      <c r="O85" s="167">
        <f>VLOOKUP(N85,'Rullelister mm.'!$I$3:$J$24,2,FALSE)</f>
        <v>7</v>
      </c>
      <c r="P85" s="185" t="str">
        <f>IF(ISNUMBER(HLOOKUP(N85,Følsomhedsanalyse!$F$19:$AB$23,5,FALSE)),ROUND(HLOOKUP(N85,Følsomhedsanalyse!$F$19:$AB$23,5,FALSE),-INT(LOG10(ABS(HLOOKUP(N85,Følsomhedsanalyse!$F$19:$AB$23,5,FALSE))))+'Analyser og resultater'!$N$35-1),"")</f>
        <v/>
      </c>
      <c r="Q85" s="196"/>
    </row>
    <row r="86" spans="1:17" ht="12.75" customHeight="1">
      <c r="A86" s="134"/>
      <c r="B86" s="134"/>
      <c r="C86" s="134"/>
      <c r="D86" s="134"/>
      <c r="E86" s="134"/>
      <c r="F86" s="134"/>
      <c r="G86" s="134"/>
      <c r="H86" s="134"/>
      <c r="I86" s="134"/>
      <c r="J86" s="134"/>
      <c r="K86" s="134"/>
      <c r="L86" s="134"/>
      <c r="M86" s="134"/>
      <c r="N86" s="237" t="s">
        <v>0</v>
      </c>
      <c r="O86" s="238">
        <f>VLOOKUP(N86,'Rullelister mm.'!$I$3:$J$24,2,FALSE)</f>
        <v>8</v>
      </c>
      <c r="P86" s="232" t="str">
        <f>IF(ISNUMBER(HLOOKUP(N86,Følsomhedsanalyse!$F$19:$AB$23,5,FALSE)),ROUND(HLOOKUP(N86,Følsomhedsanalyse!$F$19:$AB$23,5,FALSE),-INT(LOG10(ABS(HLOOKUP(N86,Følsomhedsanalyse!$F$19:$AB$23,5,FALSE))))+'Analyser og resultater'!$N$35-1),"")</f>
        <v/>
      </c>
      <c r="Q86" s="196"/>
    </row>
    <row r="87" spans="1:17" ht="12.75" customHeight="1">
      <c r="A87" s="134"/>
      <c r="B87" s="134"/>
      <c r="C87" s="134"/>
      <c r="D87" s="134"/>
      <c r="E87" s="134"/>
      <c r="F87" s="134"/>
      <c r="G87" s="134"/>
      <c r="H87" s="134"/>
      <c r="I87" s="134"/>
      <c r="J87" s="134"/>
      <c r="K87" s="134"/>
      <c r="L87" s="134"/>
      <c r="M87" s="134"/>
      <c r="N87" s="158" t="s">
        <v>27</v>
      </c>
      <c r="O87" s="159">
        <f>VLOOKUP(N87,'Rullelister mm.'!$I$3:$J$24,2,FALSE)</f>
        <v>9</v>
      </c>
      <c r="P87" s="236" t="str">
        <f>IF(ISNUMBER(HLOOKUP(N87,Følsomhedsanalyse!$F$19:$AB$23,5,FALSE)),ROUND(HLOOKUP(N87,Følsomhedsanalyse!$F$19:$AB$23,5,FALSE),-INT(LOG10(ABS(HLOOKUP(N87,Følsomhedsanalyse!$F$19:$AB$23,5,FALSE))))+'Analyser og resultater'!$N$35-1),"")</f>
        <v/>
      </c>
      <c r="Q87" s="196"/>
    </row>
    <row r="88" spans="1:17" ht="12.75" customHeight="1">
      <c r="A88" s="134"/>
      <c r="B88" s="134"/>
      <c r="C88" s="134"/>
      <c r="D88" s="134"/>
      <c r="E88" s="134"/>
      <c r="F88" s="134"/>
      <c r="G88" s="134"/>
      <c r="H88" s="134"/>
      <c r="I88" s="134"/>
      <c r="J88" s="134"/>
      <c r="K88" s="134"/>
      <c r="L88" s="134"/>
      <c r="M88" s="134"/>
      <c r="N88" s="156" t="s">
        <v>29</v>
      </c>
      <c r="O88" s="157">
        <f>VLOOKUP(N88,'Rullelister mm.'!$I$3:$J$24,2,FALSE)</f>
        <v>10</v>
      </c>
      <c r="P88" s="185" t="str">
        <f>IF(ISNUMBER(HLOOKUP(N88,Følsomhedsanalyse!$F$19:$AB$23,5,FALSE)),ROUND(HLOOKUP(N88,Følsomhedsanalyse!$F$19:$AB$23,5,FALSE),-INT(LOG10(ABS(HLOOKUP(N88,Følsomhedsanalyse!$F$19:$AB$23,5,FALSE))))+'Analyser og resultater'!$N$35-1),"")</f>
        <v/>
      </c>
      <c r="Q88" s="196"/>
    </row>
    <row r="89" spans="1:17" ht="12.75" customHeight="1">
      <c r="A89" s="134"/>
      <c r="B89" s="134"/>
      <c r="C89" s="134"/>
      <c r="D89" s="134"/>
      <c r="E89" s="134"/>
      <c r="F89" s="134"/>
      <c r="G89" s="134"/>
      <c r="H89" s="134"/>
      <c r="I89" s="134"/>
      <c r="J89" s="134"/>
      <c r="K89" s="134"/>
      <c r="L89" s="134"/>
      <c r="M89" s="134"/>
      <c r="N89" s="150" t="s">
        <v>37</v>
      </c>
      <c r="O89" s="151">
        <f>VLOOKUP(N89,'Rullelister mm.'!$I$3:$J$24,2,FALSE)</f>
        <v>11</v>
      </c>
      <c r="P89" s="185" t="str">
        <f>IF(ISNUMBER(HLOOKUP(N89,Følsomhedsanalyse!$F$19:$AB$23,5,FALSE)),ROUND(HLOOKUP(N89,Følsomhedsanalyse!$F$19:$AB$23,5,FALSE),-INT(LOG10(ABS(HLOOKUP(N89,Følsomhedsanalyse!$F$19:$AB$23,5,FALSE))))+'Analyser og resultater'!$N$35-1),"")</f>
        <v/>
      </c>
      <c r="Q89" s="196"/>
    </row>
    <row r="90" spans="1:17" ht="12.75" customHeight="1">
      <c r="A90" s="134"/>
      <c r="B90" s="134"/>
      <c r="C90" s="134"/>
      <c r="D90" s="134"/>
      <c r="E90" s="134"/>
      <c r="F90" s="134"/>
      <c r="G90" s="134"/>
      <c r="H90" s="134"/>
      <c r="I90" s="134"/>
      <c r="J90" s="134"/>
      <c r="K90" s="134"/>
      <c r="L90" s="134"/>
      <c r="M90" s="134"/>
      <c r="N90" s="148" t="s">
        <v>38</v>
      </c>
      <c r="O90" s="149">
        <f>VLOOKUP(N90,'Rullelister mm.'!$I$3:$J$24,2,FALSE)</f>
        <v>12</v>
      </c>
      <c r="P90" s="185" t="str">
        <f>IF(ISNUMBER(HLOOKUP(N90,Følsomhedsanalyse!$F$19:$AB$23,5,FALSE)),ROUND(HLOOKUP(N90,Følsomhedsanalyse!$F$19:$AB$23,5,FALSE),-INT(LOG10(ABS(HLOOKUP(N90,Følsomhedsanalyse!$F$19:$AB$23,5,FALSE))))+'Analyser og resultater'!$N$35-1),"")</f>
        <v/>
      </c>
      <c r="Q90" s="196"/>
    </row>
    <row r="91" spans="1:17" ht="12.75" customHeight="1">
      <c r="A91" s="134"/>
      <c r="B91" s="134"/>
      <c r="C91" s="134"/>
      <c r="D91" s="134"/>
      <c r="E91" s="134"/>
      <c r="F91" s="134"/>
      <c r="G91" s="134"/>
      <c r="H91" s="134"/>
      <c r="I91" s="134"/>
      <c r="J91" s="134"/>
      <c r="K91" s="134"/>
      <c r="L91" s="134"/>
      <c r="M91" s="134"/>
      <c r="N91" s="239" t="s">
        <v>39</v>
      </c>
      <c r="O91" s="240">
        <f>VLOOKUP(N91,'Rullelister mm.'!$I$3:$J$24,2,FALSE)</f>
        <v>13</v>
      </c>
      <c r="P91" s="186" t="str">
        <f>IF(ISNUMBER(HLOOKUP(N91,Følsomhedsanalyse!$F$19:$AB$23,5,FALSE)),ROUND(HLOOKUP(N91,Følsomhedsanalyse!$F$19:$AB$23,5,FALSE),-INT(LOG10(ABS(HLOOKUP(N91,Følsomhedsanalyse!$F$19:$AB$23,5,FALSE))))+'Analyser og resultater'!$N$35-1),"")</f>
        <v/>
      </c>
      <c r="Q91" s="196"/>
    </row>
    <row r="92" spans="1:17" ht="12.75" customHeight="1">
      <c r="A92" s="134"/>
      <c r="B92" s="134"/>
      <c r="C92" s="134"/>
      <c r="D92" s="134"/>
      <c r="E92" s="134"/>
      <c r="F92" s="134"/>
      <c r="G92" s="134"/>
      <c r="H92" s="134"/>
      <c r="I92" s="134"/>
      <c r="J92" s="134"/>
      <c r="K92" s="134"/>
      <c r="L92" s="134"/>
      <c r="M92" s="134"/>
      <c r="N92" s="241" t="s">
        <v>61</v>
      </c>
      <c r="O92" s="242">
        <f>VLOOKUP(N92,'Rullelister mm.'!$I$3:$J$24,2,FALSE)</f>
        <v>6</v>
      </c>
      <c r="P92" s="243" t="str">
        <f>IF(ISNUMBER(HLOOKUP(N92,Følsomhedsanalyse!$F$19:$AB$23,5,FALSE)),ROUND(HLOOKUP(N92,Følsomhedsanalyse!$F$19:$AB$23,5,FALSE),-INT(LOG10(ABS(HLOOKUP(N92,Følsomhedsanalyse!$F$19:$AB$23,5,FALSE))))+'Analyser og resultater'!$N$35-1),"")</f>
        <v/>
      </c>
      <c r="Q92" s="196"/>
    </row>
    <row r="93" spans="1:17" ht="12.75" customHeight="1">
      <c r="A93" s="134"/>
      <c r="B93" s="134"/>
      <c r="C93" s="134"/>
      <c r="D93" s="134"/>
      <c r="E93" s="134"/>
      <c r="F93" s="134"/>
      <c r="G93" s="134"/>
      <c r="H93" s="134"/>
      <c r="I93" s="134"/>
      <c r="J93" s="134"/>
      <c r="K93" s="134"/>
      <c r="L93" s="134"/>
      <c r="M93" s="134"/>
      <c r="N93" s="164" t="s">
        <v>30</v>
      </c>
      <c r="O93" s="165">
        <f>VLOOKUP(N93,'Rullelister mm.'!$I$3:$J$24,2,FALSE)</f>
        <v>8</v>
      </c>
      <c r="P93" s="236" t="str">
        <f>IF(ISNUMBER(HLOOKUP(N93,Følsomhedsanalyse!$F$19:$AB$23,5,FALSE)),ROUND(HLOOKUP(N93,Følsomhedsanalyse!$F$19:$AB$23,5,FALSE),-INT(LOG10(ABS(HLOOKUP(N93,Følsomhedsanalyse!$F$19:$AB$23,5,FALSE))))+'Analyser og resultater'!$N$35-1),"")</f>
        <v/>
      </c>
      <c r="Q93" s="196"/>
    </row>
    <row r="94" spans="1:17" ht="12.75" customHeight="1">
      <c r="A94" s="134"/>
      <c r="B94" s="134"/>
      <c r="C94" s="134"/>
      <c r="D94" s="134"/>
      <c r="E94" s="134"/>
      <c r="F94" s="134"/>
      <c r="G94" s="134"/>
      <c r="H94" s="134"/>
      <c r="I94" s="134"/>
      <c r="J94" s="134"/>
      <c r="K94" s="134"/>
      <c r="L94" s="134"/>
      <c r="M94" s="134"/>
      <c r="N94" s="191" t="s">
        <v>406</v>
      </c>
      <c r="O94" s="191"/>
      <c r="P94" s="192" t="str">
        <f>IF(SUM(P76,P77,P84,P86)=0,"",IF(ISNUMBER(SUM(P84,P76,P77,P86)),ROUND(SUM(P84,P76,P77,P86),-INT(LOG10(ABS(SUM(P84,P76,P77,P86))))+'Analyser og resultater'!$N$35-1),""))</f>
        <v/>
      </c>
      <c r="Q94" s="196"/>
    </row>
    <row r="95" spans="1:17" ht="12.75" customHeight="1">
      <c r="A95" s="134"/>
      <c r="B95" s="134"/>
      <c r="C95" s="134"/>
      <c r="D95" s="134"/>
      <c r="E95" s="134"/>
      <c r="F95" s="134"/>
      <c r="G95" s="134"/>
      <c r="H95" s="134"/>
      <c r="I95" s="134"/>
      <c r="J95" s="134"/>
      <c r="K95" s="134"/>
      <c r="L95" s="134"/>
      <c r="M95" s="134"/>
      <c r="N95" s="193" t="s">
        <v>407</v>
      </c>
      <c r="O95" s="193"/>
      <c r="P95" s="194" t="str">
        <f>IF(SUM(P72:P93)=0,"",IF(ISNUMBER(SUM(P72:P93)),ROUND(SUM(P72:P93),-INT(LOG10(ABS(SUM(P72:P93))))+'Analyser og resultater'!$N$35-1),""))</f>
        <v/>
      </c>
      <c r="Q95" s="196"/>
    </row>
    <row r="96" spans="1:17" ht="12.75" customHeight="1">
      <c r="A96" s="134"/>
      <c r="B96" s="134"/>
      <c r="C96" s="134"/>
      <c r="D96" s="134"/>
      <c r="E96" s="134"/>
      <c r="F96" s="134"/>
      <c r="G96" s="134"/>
      <c r="H96" s="134"/>
      <c r="I96" s="134"/>
      <c r="J96" s="134"/>
      <c r="K96" s="134"/>
      <c r="L96" s="134"/>
      <c r="M96" s="134"/>
      <c r="N96"/>
      <c r="O96" s="134"/>
      <c r="P96" s="187" t="s">
        <v>409</v>
      </c>
      <c r="Q96" s="196"/>
    </row>
    <row r="97" spans="1:17" ht="12.75" customHeight="1">
      <c r="A97" s="134"/>
      <c r="B97" s="134"/>
      <c r="C97" s="134"/>
      <c r="D97" s="134"/>
      <c r="E97" s="134"/>
      <c r="F97" s="134"/>
      <c r="G97" s="134"/>
      <c r="H97" s="134"/>
      <c r="I97" s="134"/>
      <c r="J97" s="134"/>
      <c r="K97" s="134"/>
      <c r="L97" s="134"/>
      <c r="M97" s="134"/>
      <c r="N97" s="134"/>
      <c r="O97" s="134"/>
      <c r="P97" s="134"/>
      <c r="Q97" s="196"/>
    </row>
    <row r="98" spans="1:17" ht="12.75" customHeight="1">
      <c r="A98" s="134"/>
      <c r="B98" s="134"/>
      <c r="C98" s="134"/>
      <c r="D98" s="134"/>
      <c r="E98" s="134"/>
      <c r="F98" s="134"/>
      <c r="G98" s="134"/>
      <c r="H98" s="134"/>
      <c r="I98" s="134"/>
      <c r="J98" s="134"/>
      <c r="K98" s="134"/>
      <c r="L98" s="134"/>
      <c r="M98" s="134"/>
      <c r="N98" s="134"/>
      <c r="O98" s="134"/>
      <c r="P98" s="134"/>
      <c r="Q98" s="196"/>
    </row>
    <row r="99" spans="1:17" ht="12.75" customHeight="1">
      <c r="A99" s="134"/>
      <c r="B99" s="134"/>
      <c r="C99" s="134"/>
      <c r="D99" s="134"/>
      <c r="E99" s="134"/>
      <c r="F99" s="134"/>
      <c r="G99" s="134"/>
      <c r="H99" s="134"/>
      <c r="I99" s="134"/>
      <c r="J99" s="134"/>
      <c r="K99" s="134"/>
      <c r="L99" s="134"/>
      <c r="M99" s="134"/>
      <c r="N99" s="134"/>
      <c r="O99" s="134"/>
      <c r="P99" s="134"/>
      <c r="Q99" s="196"/>
    </row>
    <row r="100" spans="1:17" ht="12.75" customHeight="1">
      <c r="A100" s="134"/>
      <c r="B100" s="134"/>
      <c r="C100" s="134"/>
      <c r="D100" s="134"/>
      <c r="E100" s="134"/>
      <c r="F100" s="134"/>
      <c r="G100" s="134"/>
      <c r="H100" s="134"/>
      <c r="I100" s="134"/>
      <c r="J100" s="134"/>
      <c r="K100" s="134"/>
      <c r="L100" s="134"/>
      <c r="M100" s="134"/>
      <c r="N100" s="134"/>
      <c r="O100" s="134"/>
      <c r="P100" s="134"/>
      <c r="Q100" s="196"/>
    </row>
    <row r="101" spans="1:17" ht="12.75" customHeight="1">
      <c r="A101" s="134"/>
      <c r="B101" s="134"/>
      <c r="C101" s="134"/>
      <c r="D101" s="134"/>
      <c r="E101" s="134"/>
      <c r="F101" s="134"/>
      <c r="G101" s="134"/>
      <c r="H101" s="134"/>
      <c r="I101" s="134"/>
      <c r="J101" s="134"/>
      <c r="K101" s="134"/>
      <c r="L101" s="134"/>
      <c r="M101" s="536"/>
      <c r="N101" s="536"/>
      <c r="O101" s="536"/>
      <c r="P101" s="536"/>
      <c r="Q101" s="196"/>
    </row>
    <row r="102" spans="1:17" ht="17.25" customHeight="1">
      <c r="A102" s="134"/>
      <c r="B102" s="691" t="str">
        <f>'Analyser og resultater'!$A$36</f>
        <v>Lokalitetsnavn:</v>
      </c>
      <c r="C102" s="692"/>
      <c r="D102" s="692"/>
      <c r="E102" s="693" t="str">
        <f>IF('Analyser og resultater'!$B$36="","",'Analyser og resultater'!$B$36)</f>
        <v/>
      </c>
      <c r="F102" s="694"/>
      <c r="G102" s="695"/>
      <c r="H102" s="134"/>
      <c r="I102" s="134"/>
      <c r="J102" s="134"/>
      <c r="K102" s="134"/>
      <c r="L102" s="134"/>
      <c r="M102" s="688" t="str">
        <f>'Analyser og resultater'!Q29</f>
        <v>OBS:
Der er fejl i jordtypevalg (i fanen Jordtype).</v>
      </c>
      <c r="N102" s="688"/>
      <c r="O102" s="688"/>
      <c r="P102" s="688"/>
      <c r="Q102" s="196"/>
    </row>
    <row r="103" spans="1:17" ht="17.25" customHeight="1">
      <c r="A103" s="134"/>
      <c r="B103" s="696" t="str">
        <f>'Analyser og resultater'!$A$37</f>
        <v>Sagsnr.:</v>
      </c>
      <c r="C103" s="697"/>
      <c r="D103" s="697"/>
      <c r="E103" s="113" t="str">
        <f>IF('Analyser og resultater'!$B$37="","",'Analyser og resultater'!$B$37)</f>
        <v/>
      </c>
      <c r="F103" s="114" t="str">
        <f>'Analyser og resultater'!$C$37</f>
        <v>Lok.nr.:</v>
      </c>
      <c r="G103" s="115" t="str">
        <f>IF('Analyser og resultater'!$D$37="","",'Analyser og resultater'!$D$37)</f>
        <v/>
      </c>
      <c r="H103" s="134"/>
      <c r="I103" s="134"/>
      <c r="J103" s="134"/>
      <c r="K103" s="134"/>
      <c r="L103" s="134"/>
      <c r="M103" s="688"/>
      <c r="N103" s="688"/>
      <c r="O103" s="688"/>
      <c r="P103" s="688"/>
      <c r="Q103" s="196"/>
    </row>
    <row r="104" spans="1:17" ht="17.25" customHeight="1">
      <c r="A104" s="134"/>
      <c r="B104" s="696" t="str">
        <f>'Analyser og resultater'!$A$38</f>
        <v>Prøve / boring:</v>
      </c>
      <c r="C104" s="697"/>
      <c r="D104" s="697"/>
      <c r="E104" s="113" t="str">
        <f>IF('Analyser og resultater'!$B$38="","",'Analyser og resultater'!$B$38)</f>
        <v/>
      </c>
      <c r="F104" s="114" t="str">
        <f>'Analyser og resultater'!$C$38</f>
        <v>Dybde:</v>
      </c>
      <c r="G104" s="115" t="str">
        <f>IF('Analyser og resultater'!$D$38="","",'Analyser og resultater'!$D$38)</f>
        <v/>
      </c>
      <c r="H104" s="134"/>
      <c r="I104" s="134"/>
      <c r="J104" s="134"/>
      <c r="K104" s="134"/>
      <c r="L104" s="134"/>
      <c r="M104" s="688"/>
      <c r="N104" s="688"/>
      <c r="O104" s="688"/>
      <c r="P104" s="688"/>
      <c r="Q104" s="196"/>
    </row>
    <row r="105" spans="1:17" ht="17.25" customHeight="1">
      <c r="A105" s="134"/>
      <c r="B105" s="696" t="str">
        <f>'Analyser og resultater'!$A$39</f>
        <v>Firma:</v>
      </c>
      <c r="C105" s="697"/>
      <c r="D105" s="697"/>
      <c r="E105" s="113" t="str">
        <f>IF('Analyser og resultater'!$B$39="","",'Analyser og resultater'!$B$39)</f>
        <v/>
      </c>
      <c r="F105" s="114" t="str">
        <f>'Analyser og resultater'!$C$39</f>
        <v>Udført af:</v>
      </c>
      <c r="G105" s="115" t="str">
        <f>IF('Analyser og resultater'!$D$39="","",'Analyser og resultater'!$D$39)</f>
        <v/>
      </c>
      <c r="H105" s="134"/>
      <c r="I105" s="134"/>
      <c r="J105" s="134"/>
      <c r="K105" s="134"/>
      <c r="L105" s="134"/>
      <c r="M105" s="688"/>
      <c r="N105" s="688"/>
      <c r="O105" s="688"/>
      <c r="P105" s="688"/>
      <c r="Q105" s="196"/>
    </row>
    <row r="106" spans="1:17" ht="17.25" customHeight="1">
      <c r="A106" s="134"/>
      <c r="B106" s="689" t="str">
        <f>'Analyser og resultater'!$A$40</f>
        <v>Dato:</v>
      </c>
      <c r="C106" s="690"/>
      <c r="D106" s="690"/>
      <c r="E106" s="678">
        <f ca="1">IF('Analyser og resultater'!$B$40="","",'Analyser og resultater'!$B$40)</f>
        <v>45943.37626759259</v>
      </c>
      <c r="F106" s="679"/>
      <c r="G106" s="680"/>
      <c r="H106" s="134"/>
      <c r="I106" s="134"/>
      <c r="J106" s="134"/>
      <c r="K106" s="134"/>
      <c r="L106" s="134"/>
      <c r="M106" s="134"/>
      <c r="N106" s="134"/>
      <c r="O106" s="134"/>
      <c r="P106" s="134"/>
      <c r="Q106" s="196"/>
    </row>
    <row r="107" spans="1:17" ht="12.75" customHeight="1">
      <c r="A107" s="134"/>
      <c r="B107" s="134"/>
      <c r="C107" s="134"/>
      <c r="D107" s="134"/>
      <c r="E107" s="134"/>
      <c r="F107" s="134"/>
      <c r="G107" s="134"/>
      <c r="H107" s="134"/>
      <c r="I107" s="134"/>
      <c r="J107" s="134"/>
      <c r="K107" s="134"/>
      <c r="L107" s="134"/>
      <c r="M107" s="134"/>
      <c r="N107" s="134"/>
      <c r="O107" s="134"/>
      <c r="P107" s="134"/>
      <c r="Q107" s="196"/>
    </row>
    <row r="108" spans="1:17" ht="12.75" customHeight="1">
      <c r="A108" s="134"/>
      <c r="B108" s="134"/>
      <c r="C108" s="134"/>
      <c r="D108" s="134"/>
      <c r="E108" s="134"/>
      <c r="F108" s="134"/>
      <c r="G108" s="134"/>
      <c r="H108" s="134"/>
      <c r="I108" s="134"/>
      <c r="J108" s="134"/>
      <c r="K108" s="134"/>
      <c r="L108" s="134"/>
      <c r="M108" s="134"/>
      <c r="N108" s="134"/>
      <c r="O108" s="134"/>
      <c r="P108" s="567" t="str">
        <f>Intro!A33</f>
        <v>PFASen (Ver. 2.4) - 2025-10-09</v>
      </c>
      <c r="Q108" s="196"/>
    </row>
    <row r="109" spans="1:17" ht="12.75" customHeight="1"/>
    <row r="110" spans="1:17" ht="12.75" customHeight="1"/>
    <row r="111" spans="1:17" ht="12.75" customHeight="1"/>
    <row r="112" spans="1:17" ht="12.75" customHeight="1"/>
    <row r="113" ht="12.75" customHeight="1"/>
    <row r="114" ht="12.75" customHeight="1"/>
    <row r="115" ht="12.75" customHeight="1"/>
  </sheetData>
  <sheetProtection algorithmName="SHA-512" hashValue="5rDntYt2WWktykTtkKVG9EzRnKFrKTG/8ztuMytwjrGs9BQj5GbtVmVL+9Xxh0Tx1a/eNZvgG8WIZZJH4ynqmw==" saltValue="pP7rccYq//mSZXOeKHMoIw==" spinCount="100000" sheet="1" objects="1" scenarios="1" selectLockedCells="1" selectUnlockedCells="1"/>
  <mergeCells count="8">
    <mergeCell ref="M102:P105"/>
    <mergeCell ref="B106:D106"/>
    <mergeCell ref="E106:G106"/>
    <mergeCell ref="B102:D102"/>
    <mergeCell ref="E102:G102"/>
    <mergeCell ref="B103:D103"/>
    <mergeCell ref="B104:D104"/>
    <mergeCell ref="B105:D105"/>
  </mergeCells>
  <conditionalFormatting sqref="M102:P105">
    <cfRule type="containsText" dxfId="68" priority="1" stopIfTrue="1" operator="containsText" text="hvis">
      <formula>NOT(ISERROR(SEARCH("hvis",M102)))</formula>
    </cfRule>
    <cfRule type="cellIs" dxfId="67" priority="2" operator="notEqual">
      <formula>""</formula>
    </cfRule>
  </conditionalFormatting>
  <pageMargins left="0.78740157480314965" right="0.78740157480314965" top="0.59055118110236227" bottom="0.59055118110236227" header="0.31496062992125984" footer="0.31496062992125984"/>
  <pageSetup paperSize="8" scale="81" orientation="portrait" verticalDpi="0" r:id="rId1"/>
  <colBreaks count="1" manualBreakCount="1">
    <brk id="18" max="108" man="1"/>
  </colBreaks>
  <drawing r:id="rId2"/>
  <extLst>
    <ext xmlns:x14="http://schemas.microsoft.com/office/spreadsheetml/2009/9/main" uri="{78C0D931-6437-407d-A8EE-F0AAD7539E65}">
      <x14:conditionalFormattings>
        <x14:conditionalFormatting xmlns:xm="http://schemas.microsoft.com/office/excel/2006/main">
          <x14:cfRule type="expression" priority="3" stopIfTrue="1" id="{D32128A2-DFE2-40F9-9389-63E73A0B8963}">
            <xm:f>AND('Analyser og resultater'!$N$35=3,P6&gt;=100)</xm:f>
            <x14:dxf>
              <numFmt numFmtId="3" formatCode="#,##0"/>
            </x14:dxf>
          </x14:cfRule>
          <x14:cfRule type="expression" priority="4" stopIfTrue="1" id="{7BCA5049-E013-4E06-B563-80617AAC7F24}">
            <xm:f>AND('Analyser og resultater'!$N$35=3,P6&gt;=10)</xm:f>
            <x14:dxf>
              <numFmt numFmtId="177" formatCode="#,##0.0"/>
            </x14:dxf>
          </x14:cfRule>
          <x14:cfRule type="expression" priority="5" stopIfTrue="1" id="{821F2B0D-91A6-4B68-9E8E-89CDFD3A198C}">
            <xm:f>AND('Analyser og resultater'!$N$35=3,P6&gt;=1)</xm:f>
            <x14:dxf>
              <numFmt numFmtId="4" formatCode="#,##0.00"/>
            </x14:dxf>
          </x14:cfRule>
          <x14:cfRule type="expression" priority="6" stopIfTrue="1" id="{ADBCED7A-45A2-40CB-87D7-FB22A5064A90}">
            <xm:f>AND('Analyser og resultater'!$N$35=3,P6&gt;=0.1)</xm:f>
            <x14:dxf>
              <numFmt numFmtId="170" formatCode="#,##0.000"/>
            </x14:dxf>
          </x14:cfRule>
          <x14:cfRule type="expression" priority="7" stopIfTrue="1" id="{ECD0FD83-352D-4949-93E3-89C33F89B4F0}">
            <xm:f>AND('Analyser og resultater'!$N$35=3,P6&gt;=0.01)</xm:f>
            <x14:dxf>
              <numFmt numFmtId="176" formatCode="#,##0.0000"/>
            </x14:dxf>
          </x14:cfRule>
          <x14:cfRule type="expression" priority="8" stopIfTrue="1" id="{3FF109E6-4B13-4595-9079-FCC4FABCAF78}">
            <xm:f>AND('Analyser og resultater'!$N$35=3,P6&gt;=0.001)</xm:f>
            <x14:dxf>
              <numFmt numFmtId="175" formatCode="#,##0.00000"/>
            </x14:dxf>
          </x14:cfRule>
          <x14:cfRule type="expression" priority="145" stopIfTrue="1" id="{6142BE7D-5721-4674-8ED9-E3871F6E1325}">
            <xm:f>AND('Analyser og resultater'!$N$35=3,P6&lt;0.001)</xm:f>
            <x14:dxf>
              <numFmt numFmtId="15" formatCode="0.00E+00"/>
            </x14:dxf>
          </x14:cfRule>
          <x14:cfRule type="expression" priority="146" stopIfTrue="1" id="{191DD117-CEFF-41C2-88AF-E9324B81F66B}">
            <xm:f>AND('Analyser og resultater'!$N$35=2,P6&gt;=10)</xm:f>
            <x14:dxf>
              <numFmt numFmtId="3" formatCode="#,##0"/>
            </x14:dxf>
          </x14:cfRule>
          <x14:cfRule type="expression" priority="147" stopIfTrue="1" id="{CE1AEB5C-1161-4B25-AAFE-D760B25EE5F5}">
            <xm:f>AND('Analyser og resultater'!$N$35=2,P6&gt;=1)</xm:f>
            <x14:dxf>
              <numFmt numFmtId="177" formatCode="#,##0.0"/>
            </x14:dxf>
          </x14:cfRule>
          <x14:cfRule type="expression" priority="148" stopIfTrue="1" id="{9FCD527D-205C-4AB7-A85F-3BCE7DD899D4}">
            <xm:f>AND('Analyser og resultater'!$N$35=2,P6&gt;=0.1)</xm:f>
            <x14:dxf>
              <numFmt numFmtId="4" formatCode="#,##0.00"/>
            </x14:dxf>
          </x14:cfRule>
          <x14:cfRule type="expression" priority="149" stopIfTrue="1" id="{BFF95EBD-5177-48D6-AEEE-97EA5779D95A}">
            <xm:f>AND('Analyser og resultater'!$N$35=2,P6&gt;=0.01)</xm:f>
            <x14:dxf>
              <numFmt numFmtId="170" formatCode="#,##0.000"/>
            </x14:dxf>
          </x14:cfRule>
          <x14:cfRule type="expression" priority="150" stopIfTrue="1" id="{4AF3C044-558A-45E5-81BD-04CB1AB6CB01}">
            <xm:f>AND('Analyser og resultater'!$N$35=2,P6&gt;=0.001)</xm:f>
            <x14:dxf>
              <numFmt numFmtId="176" formatCode="#,##0.0000"/>
            </x14:dxf>
          </x14:cfRule>
          <x14:cfRule type="expression" priority="153" stopIfTrue="1" id="{E3BDBB72-7B58-4801-992D-8A4F6FA9A118}">
            <xm:f>AND('Analyser og resultater'!$N$35=2,P6&lt;0.001)</xm:f>
            <x14:dxf>
              <numFmt numFmtId="168" formatCode="0.0E+00"/>
            </x14:dxf>
          </x14:cfRule>
          <xm:sqref>P6:P29 P39:P62 P72:P95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F2BBC-35CA-4DD0-9B5E-559F29D6D2EE}">
  <sheetPr codeName="Ark22">
    <tabColor rgb="FF193C65"/>
  </sheetPr>
  <dimension ref="A1:X34"/>
  <sheetViews>
    <sheetView zoomScaleNormal="100" workbookViewId="0">
      <selection activeCell="A35" sqref="A35"/>
    </sheetView>
  </sheetViews>
  <sheetFormatPr defaultRowHeight="15"/>
  <cols>
    <col min="1" max="24" width="8.85546875" style="127" customWidth="1"/>
    <col min="25" max="16384" width="9.140625" style="127"/>
  </cols>
  <sheetData>
    <row r="1" spans="1:24" ht="26.1" customHeight="1">
      <c r="A1" s="134"/>
      <c r="B1" s="134"/>
      <c r="C1" s="134"/>
      <c r="D1" s="134"/>
      <c r="E1" s="134"/>
      <c r="F1" s="134"/>
      <c r="G1" s="134"/>
      <c r="H1" s="134"/>
      <c r="I1" s="134"/>
      <c r="J1" s="134"/>
      <c r="K1" s="134"/>
      <c r="L1" s="134"/>
      <c r="M1" s="134"/>
      <c r="N1" s="134"/>
      <c r="O1" s="134"/>
      <c r="P1" s="134"/>
      <c r="Q1" s="134"/>
      <c r="R1" s="134"/>
      <c r="S1" s="134"/>
      <c r="T1" s="134"/>
      <c r="U1" s="134"/>
      <c r="V1" s="134"/>
      <c r="W1" s="134"/>
      <c r="X1" s="134"/>
    </row>
    <row r="2" spans="1:24" ht="26.1" customHeight="1">
      <c r="A2" s="134"/>
      <c r="B2" s="134"/>
      <c r="C2" s="134"/>
      <c r="D2" s="134"/>
      <c r="E2" s="134"/>
      <c r="F2" s="134"/>
      <c r="G2" s="134"/>
      <c r="H2" s="134"/>
      <c r="I2" s="134"/>
      <c r="J2" s="134"/>
      <c r="K2" s="134"/>
      <c r="L2" s="134"/>
      <c r="M2" s="134"/>
      <c r="N2" s="134"/>
      <c r="O2" s="134"/>
      <c r="P2" s="134"/>
      <c r="Q2" s="134"/>
      <c r="R2" s="134"/>
      <c r="S2" s="134"/>
      <c r="T2" s="134"/>
      <c r="U2" s="134"/>
      <c r="V2" s="134"/>
      <c r="W2" s="134"/>
      <c r="X2" s="134"/>
    </row>
    <row r="3" spans="1:24" ht="26.1" customHeight="1">
      <c r="A3" s="134"/>
      <c r="B3" s="134"/>
      <c r="C3" s="134"/>
      <c r="D3" s="134"/>
      <c r="E3" s="134"/>
      <c r="F3" s="134"/>
      <c r="G3" s="134"/>
      <c r="H3" s="134"/>
      <c r="I3" s="134"/>
      <c r="J3" s="134"/>
      <c r="K3" s="134"/>
      <c r="L3" s="134"/>
      <c r="M3" s="134"/>
      <c r="N3" s="134"/>
      <c r="O3" s="134"/>
      <c r="P3" s="134"/>
      <c r="Q3" s="134"/>
      <c r="R3" s="134"/>
      <c r="S3" s="134"/>
      <c r="T3" s="134"/>
      <c r="U3" s="134"/>
      <c r="V3" s="134"/>
      <c r="W3" s="134"/>
      <c r="X3" s="134"/>
    </row>
    <row r="4" spans="1:24" ht="26.1" customHeight="1">
      <c r="A4" s="134"/>
      <c r="B4" s="134"/>
      <c r="C4" s="134"/>
      <c r="D4" s="134"/>
      <c r="E4" s="134"/>
      <c r="F4" s="134"/>
      <c r="G4" s="134"/>
      <c r="H4" s="134"/>
      <c r="I4" s="134"/>
      <c r="J4" s="134"/>
      <c r="K4" s="134"/>
      <c r="L4" s="134"/>
      <c r="M4" s="134"/>
      <c r="N4" s="134"/>
      <c r="O4" s="134"/>
      <c r="P4" s="134"/>
      <c r="Q4" s="134"/>
      <c r="R4" s="134"/>
      <c r="S4" s="134"/>
      <c r="T4" s="134"/>
      <c r="U4" s="134"/>
      <c r="V4" s="134"/>
      <c r="W4" s="134"/>
      <c r="X4" s="134"/>
    </row>
    <row r="5" spans="1:24" ht="26.1" customHeight="1">
      <c r="A5" s="134"/>
      <c r="B5" s="134"/>
      <c r="C5" s="134"/>
      <c r="D5" s="134"/>
      <c r="E5" s="134"/>
      <c r="F5" s="134"/>
      <c r="G5" s="134"/>
      <c r="H5" s="134"/>
      <c r="I5" s="134"/>
      <c r="J5" s="134"/>
      <c r="K5" s="134"/>
      <c r="L5" s="134"/>
      <c r="M5" s="134"/>
      <c r="N5" s="134"/>
      <c r="O5" s="134"/>
      <c r="P5" s="134"/>
      <c r="Q5" s="134"/>
      <c r="R5" s="134"/>
      <c r="S5" s="134"/>
      <c r="T5" s="134"/>
      <c r="U5" s="134"/>
      <c r="V5" s="134"/>
      <c r="W5" s="134"/>
      <c r="X5" s="134"/>
    </row>
    <row r="6" spans="1:24" ht="26.1" customHeight="1">
      <c r="A6" s="134"/>
      <c r="B6" s="134"/>
      <c r="C6" s="134"/>
      <c r="D6" s="134"/>
      <c r="E6" s="134"/>
      <c r="F6" s="134"/>
      <c r="G6" s="134"/>
      <c r="H6" s="134"/>
      <c r="I6" s="134"/>
      <c r="J6" s="134"/>
      <c r="K6" s="134"/>
      <c r="L6" s="134"/>
      <c r="M6" s="134"/>
      <c r="N6" s="134"/>
      <c r="O6" s="134"/>
      <c r="P6" s="134"/>
      <c r="Q6" s="134"/>
      <c r="R6" s="134"/>
      <c r="S6" s="134"/>
      <c r="T6" s="134"/>
      <c r="U6" s="134"/>
      <c r="V6" s="134"/>
      <c r="W6" s="134"/>
      <c r="X6" s="134"/>
    </row>
    <row r="7" spans="1:24" ht="26.1" customHeight="1">
      <c r="A7" s="134"/>
      <c r="B7" s="134"/>
      <c r="C7" s="134"/>
      <c r="D7" s="134"/>
      <c r="E7" s="134"/>
      <c r="F7" s="134"/>
      <c r="G7" s="134"/>
      <c r="H7" s="134"/>
      <c r="I7" s="134"/>
      <c r="J7" s="134"/>
      <c r="K7" s="134"/>
      <c r="L7" s="134"/>
      <c r="M7" s="134"/>
      <c r="N7" s="134"/>
      <c r="O7" s="134"/>
      <c r="P7" s="134"/>
      <c r="Q7" s="134"/>
      <c r="R7" s="134"/>
      <c r="S7" s="134"/>
      <c r="T7" s="134"/>
      <c r="U7" s="134"/>
      <c r="V7" s="134"/>
      <c r="W7" s="134"/>
      <c r="X7" s="134"/>
    </row>
    <row r="8" spans="1:24" ht="26.1" customHeight="1">
      <c r="A8" s="134"/>
      <c r="B8" s="134"/>
      <c r="C8" s="134"/>
      <c r="D8" s="134"/>
      <c r="E8" s="134"/>
      <c r="F8" s="134"/>
      <c r="G8" s="134"/>
      <c r="H8" s="134"/>
      <c r="I8" s="134"/>
      <c r="J8" s="134"/>
      <c r="K8" s="134"/>
      <c r="L8" s="134"/>
      <c r="M8" s="134"/>
      <c r="N8" s="134"/>
      <c r="O8" s="134"/>
      <c r="P8" s="134"/>
      <c r="Q8" s="134"/>
      <c r="R8" s="134"/>
      <c r="S8" s="134"/>
      <c r="T8" s="134"/>
      <c r="U8" s="134"/>
      <c r="V8" s="134"/>
      <c r="W8" s="134"/>
      <c r="X8" s="134"/>
    </row>
    <row r="9" spans="1:24" ht="26.1" customHeight="1">
      <c r="A9" s="134"/>
      <c r="B9" s="134"/>
      <c r="C9" s="134"/>
      <c r="D9" s="134"/>
      <c r="E9" s="134"/>
      <c r="F9" s="134"/>
      <c r="G9" s="134"/>
      <c r="H9" s="134"/>
      <c r="I9" s="134"/>
      <c r="J9" s="134"/>
      <c r="K9" s="134"/>
      <c r="L9" s="134"/>
      <c r="M9" s="134"/>
      <c r="N9" s="134"/>
      <c r="O9" s="134"/>
      <c r="P9" s="134"/>
      <c r="Q9" s="134"/>
      <c r="R9" s="134"/>
      <c r="S9" s="134"/>
      <c r="T9" s="134"/>
      <c r="U9" s="134"/>
      <c r="V9" s="134"/>
      <c r="W9" s="134"/>
      <c r="X9" s="134"/>
    </row>
    <row r="10" spans="1:24" ht="26.1" customHeight="1">
      <c r="A10" s="134"/>
      <c r="B10" s="134"/>
      <c r="C10" s="134"/>
      <c r="D10" s="134"/>
      <c r="E10" s="134"/>
      <c r="F10" s="134"/>
      <c r="G10" s="134"/>
      <c r="H10" s="134"/>
      <c r="I10" s="134"/>
      <c r="J10" s="134"/>
      <c r="K10" s="134"/>
      <c r="L10" s="134"/>
      <c r="M10" s="134"/>
      <c r="N10" s="134"/>
      <c r="O10" s="134"/>
      <c r="P10" s="134"/>
      <c r="Q10" s="134"/>
      <c r="R10" s="134"/>
      <c r="S10" s="134"/>
      <c r="T10" s="134"/>
      <c r="U10" s="134"/>
      <c r="V10" s="134"/>
      <c r="W10" s="134"/>
      <c r="X10" s="134"/>
    </row>
    <row r="11" spans="1:24" ht="26.1" customHeight="1">
      <c r="A11" s="134"/>
      <c r="B11" s="134"/>
      <c r="C11" s="134"/>
      <c r="D11" s="134"/>
      <c r="E11" s="134"/>
      <c r="F11" s="134"/>
      <c r="G11" s="134"/>
      <c r="H11" s="134"/>
      <c r="I11" s="134"/>
      <c r="J11" s="134"/>
      <c r="K11" s="134"/>
      <c r="L11" s="134"/>
      <c r="M11" s="134"/>
      <c r="N11" s="134"/>
      <c r="O11" s="134"/>
      <c r="P11" s="134"/>
      <c r="Q11" s="134"/>
      <c r="R11" s="134"/>
      <c r="S11" s="134"/>
      <c r="T11" s="134"/>
      <c r="U11" s="134"/>
      <c r="V11" s="134"/>
      <c r="W11" s="134"/>
      <c r="X11" s="134"/>
    </row>
    <row r="12" spans="1:24" ht="26.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row>
    <row r="13" spans="1:24" ht="26.1"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row>
    <row r="14" spans="1:24" ht="26.1" customHeight="1">
      <c r="A14" s="134"/>
      <c r="B14" s="134"/>
      <c r="C14" s="134"/>
      <c r="D14" s="134"/>
      <c r="E14" s="134"/>
      <c r="F14" s="134"/>
      <c r="G14" s="134"/>
      <c r="H14" s="134"/>
      <c r="I14" s="134"/>
      <c r="J14" s="134"/>
      <c r="K14" s="134"/>
      <c r="L14" s="134"/>
      <c r="M14" s="134"/>
      <c r="N14" s="134"/>
      <c r="O14" s="134"/>
      <c r="P14" s="134"/>
      <c r="Q14" s="134"/>
      <c r="R14" s="134"/>
      <c r="S14" s="134"/>
      <c r="T14" s="134"/>
      <c r="U14" s="134"/>
      <c r="V14" s="134"/>
      <c r="W14" s="134"/>
      <c r="X14" s="134"/>
    </row>
    <row r="15" spans="1:24" ht="26.1" customHeight="1">
      <c r="A15" s="134"/>
      <c r="B15" s="134"/>
      <c r="C15" s="134"/>
      <c r="D15" s="134"/>
      <c r="E15" s="134"/>
      <c r="F15" s="134"/>
      <c r="G15" s="134"/>
      <c r="H15" s="134"/>
      <c r="I15" s="134"/>
      <c r="J15" s="134"/>
      <c r="K15" s="134"/>
      <c r="L15" s="134"/>
      <c r="M15" s="134"/>
      <c r="N15" s="134"/>
      <c r="O15" s="134"/>
      <c r="P15" s="134"/>
      <c r="Q15" s="134"/>
      <c r="R15" s="134"/>
      <c r="S15" s="134"/>
      <c r="T15" s="134"/>
      <c r="U15" s="134"/>
      <c r="V15" s="134"/>
      <c r="W15" s="134"/>
      <c r="X15" s="134"/>
    </row>
    <row r="16" spans="1:24" ht="26.1" customHeight="1">
      <c r="A16" s="134"/>
      <c r="B16" s="134"/>
      <c r="C16" s="134"/>
      <c r="D16" s="134"/>
      <c r="E16" s="134"/>
      <c r="F16" s="134"/>
      <c r="G16" s="134"/>
      <c r="H16" s="134"/>
      <c r="I16" s="134"/>
      <c r="J16" s="134"/>
      <c r="K16" s="134"/>
      <c r="L16" s="134"/>
      <c r="M16" s="134"/>
      <c r="N16" s="134"/>
      <c r="O16" s="134"/>
      <c r="P16" s="134"/>
      <c r="Q16" s="134"/>
      <c r="R16" s="134"/>
      <c r="S16" s="134"/>
      <c r="T16" s="134"/>
      <c r="U16" s="134"/>
      <c r="V16" s="134"/>
      <c r="W16" s="134"/>
      <c r="X16" s="134"/>
    </row>
    <row r="17" spans="1:24" ht="26.1" customHeight="1">
      <c r="A17" s="134"/>
      <c r="B17" s="134"/>
      <c r="C17" s="134"/>
      <c r="D17" s="134"/>
      <c r="E17" s="134"/>
      <c r="F17" s="134"/>
      <c r="G17" s="134"/>
      <c r="H17" s="134"/>
      <c r="I17" s="134"/>
      <c r="J17" s="134"/>
      <c r="K17" s="134"/>
      <c r="L17" s="134"/>
      <c r="M17" s="134"/>
      <c r="N17" s="134"/>
      <c r="O17" s="134"/>
      <c r="P17" s="134"/>
      <c r="Q17" s="134"/>
      <c r="R17" s="134"/>
      <c r="S17" s="134"/>
      <c r="T17" s="134"/>
      <c r="U17" s="134"/>
      <c r="V17" s="134"/>
      <c r="W17" s="134"/>
      <c r="X17" s="134"/>
    </row>
    <row r="18" spans="1:24" ht="26.1" customHeight="1">
      <c r="A18" s="134"/>
      <c r="B18" s="134"/>
      <c r="C18" s="134"/>
      <c r="D18" s="134"/>
      <c r="E18" s="134"/>
      <c r="F18" s="134"/>
      <c r="G18" s="134"/>
      <c r="H18" s="134"/>
      <c r="I18" s="134"/>
      <c r="J18" s="134"/>
      <c r="K18" s="134"/>
      <c r="L18" s="134"/>
      <c r="M18" s="134"/>
      <c r="N18" s="134"/>
      <c r="O18" s="134"/>
      <c r="P18" s="134"/>
      <c r="Q18" s="134"/>
      <c r="R18" s="134"/>
      <c r="S18" s="134"/>
      <c r="T18" s="134"/>
      <c r="U18" s="134"/>
      <c r="V18" s="134"/>
      <c r="W18" s="134"/>
      <c r="X18" s="134"/>
    </row>
    <row r="19" spans="1:24" ht="26.1"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row>
    <row r="20" spans="1:24" ht="26.1" customHeight="1">
      <c r="A20" s="134"/>
      <c r="B20" s="134"/>
      <c r="C20" s="134"/>
      <c r="D20" s="134"/>
      <c r="E20" s="134"/>
      <c r="F20" s="134"/>
      <c r="G20" s="134"/>
      <c r="H20" s="134"/>
      <c r="I20" s="134"/>
      <c r="J20" s="134"/>
      <c r="K20" s="134"/>
      <c r="L20" s="134"/>
      <c r="M20" s="134"/>
      <c r="N20" s="134"/>
      <c r="O20" s="134"/>
      <c r="P20" s="134"/>
      <c r="Q20" s="134"/>
      <c r="R20" s="134"/>
      <c r="S20" s="134"/>
      <c r="T20" s="134"/>
      <c r="U20" s="134"/>
      <c r="V20" s="134"/>
      <c r="W20" s="134"/>
      <c r="X20" s="134"/>
    </row>
    <row r="21" spans="1:24" ht="26.1" customHeight="1">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row>
    <row r="22" spans="1:24" ht="23.1" customHeight="1">
      <c r="A22" s="134"/>
      <c r="B22" s="134"/>
      <c r="C22" s="134"/>
      <c r="D22" s="134"/>
      <c r="E22" s="134"/>
      <c r="F22" s="134"/>
      <c r="G22" s="134"/>
      <c r="H22" s="134"/>
      <c r="I22" s="134"/>
      <c r="J22" s="134"/>
      <c r="K22" s="134"/>
      <c r="L22" s="134"/>
      <c r="M22" s="134"/>
      <c r="N22" s="134"/>
      <c r="O22" s="134"/>
      <c r="P22" s="134"/>
      <c r="Q22" s="189" t="s">
        <v>410</v>
      </c>
      <c r="R22" s="134"/>
      <c r="S22" s="134"/>
      <c r="T22" s="134"/>
      <c r="U22" s="134"/>
      <c r="V22" s="134"/>
      <c r="W22" s="134"/>
      <c r="X22" s="134"/>
    </row>
    <row r="23" spans="1:24" ht="17.25" customHeight="1">
      <c r="A23" s="134"/>
      <c r="B23" s="134"/>
      <c r="C23" s="134"/>
      <c r="D23" s="134"/>
      <c r="E23" s="134"/>
      <c r="F23" s="134"/>
      <c r="G23" s="134"/>
      <c r="H23" s="134"/>
      <c r="I23" s="134"/>
      <c r="J23" s="134"/>
      <c r="K23" s="134"/>
      <c r="L23" s="134"/>
      <c r="M23" s="134"/>
      <c r="N23" s="134"/>
      <c r="O23" s="134"/>
      <c r="P23" s="134"/>
      <c r="Q23" s="134"/>
      <c r="R23" s="134"/>
      <c r="S23" s="134"/>
      <c r="T23" s="688" t="str">
        <f>'Analyser og resultater'!Q29</f>
        <v>OBS:
Der er fejl i jordtypevalg (i fanen Jordtype).</v>
      </c>
      <c r="U23" s="688"/>
      <c r="V23" s="688"/>
      <c r="W23" s="688"/>
      <c r="X23" s="134"/>
    </row>
    <row r="24" spans="1:24" ht="17.25" customHeight="1">
      <c r="A24" s="134"/>
      <c r="B24" s="134"/>
      <c r="C24" s="134"/>
      <c r="D24" s="134"/>
      <c r="E24" s="134"/>
      <c r="F24" s="134"/>
      <c r="G24" s="134"/>
      <c r="H24" s="134"/>
      <c r="I24" s="134"/>
      <c r="J24" s="134"/>
      <c r="K24" s="134"/>
      <c r="L24" s="134"/>
      <c r="M24" s="134"/>
      <c r="N24" s="134"/>
      <c r="O24" s="134"/>
      <c r="P24" s="134"/>
      <c r="Q24" s="134"/>
      <c r="R24" s="134"/>
      <c r="S24" s="134"/>
      <c r="T24" s="688"/>
      <c r="U24" s="688"/>
      <c r="V24" s="688"/>
      <c r="W24" s="688"/>
      <c r="X24" s="134"/>
    </row>
    <row r="25" spans="1:24" ht="17.25" customHeight="1">
      <c r="A25" s="134"/>
      <c r="B25" s="134"/>
      <c r="C25" s="134"/>
      <c r="D25" s="134"/>
      <c r="E25" s="134"/>
      <c r="F25" s="134"/>
      <c r="G25" s="134"/>
      <c r="H25" s="134"/>
      <c r="I25" s="134"/>
      <c r="J25" s="134"/>
      <c r="K25" s="134"/>
      <c r="L25" s="134"/>
      <c r="M25" s="134"/>
      <c r="N25" s="134"/>
      <c r="O25" s="134"/>
      <c r="P25" s="134"/>
      <c r="Q25" s="134"/>
      <c r="R25" s="134"/>
      <c r="S25" s="134"/>
      <c r="T25" s="688"/>
      <c r="U25" s="688"/>
      <c r="V25" s="688"/>
      <c r="W25" s="688"/>
      <c r="X25" s="134"/>
    </row>
    <row r="26" spans="1:24" ht="17.25" customHeight="1">
      <c r="A26" s="134"/>
      <c r="B26" s="134"/>
      <c r="C26" s="134"/>
      <c r="D26" s="134"/>
      <c r="E26" s="134"/>
      <c r="F26" s="134"/>
      <c r="G26" s="134"/>
      <c r="H26" s="134"/>
      <c r="I26" s="134"/>
      <c r="J26" s="134"/>
      <c r="K26" s="134"/>
      <c r="L26" s="134"/>
      <c r="M26" s="134"/>
      <c r="N26" s="134"/>
      <c r="O26" s="134"/>
      <c r="P26" s="134"/>
      <c r="Q26" s="134"/>
      <c r="R26" s="134"/>
      <c r="S26" s="134"/>
      <c r="T26" s="688"/>
      <c r="U26" s="688"/>
      <c r="V26" s="688"/>
      <c r="W26" s="688"/>
      <c r="X26" s="134"/>
    </row>
    <row r="27" spans="1:24" ht="17.25" customHeight="1">
      <c r="A27" s="134"/>
      <c r="B27" s="134"/>
      <c r="C27" s="134"/>
      <c r="D27" s="134"/>
      <c r="E27" s="134"/>
      <c r="F27" s="134"/>
      <c r="G27" s="134"/>
      <c r="H27" s="134"/>
      <c r="I27" s="134"/>
      <c r="J27" s="134"/>
      <c r="K27" s="134"/>
      <c r="L27" s="134"/>
      <c r="M27" s="134"/>
      <c r="N27" s="134"/>
      <c r="O27" s="134"/>
      <c r="P27" s="134"/>
      <c r="Q27" s="134"/>
      <c r="R27" s="134"/>
      <c r="S27" s="134"/>
      <c r="T27" s="134"/>
      <c r="U27" s="134"/>
      <c r="V27" s="134"/>
      <c r="W27" s="134"/>
      <c r="X27" s="134"/>
    </row>
    <row r="28" spans="1:24" ht="17.25" customHeight="1">
      <c r="A28" s="134"/>
      <c r="B28" s="134"/>
      <c r="C28" s="134"/>
      <c r="D28" s="134"/>
      <c r="E28" s="134"/>
      <c r="F28" s="134"/>
      <c r="G28" s="134"/>
      <c r="H28" s="134"/>
      <c r="I28" s="134"/>
      <c r="J28" s="134"/>
      <c r="K28" s="134"/>
      <c r="L28" s="134"/>
      <c r="M28" s="134"/>
      <c r="N28" s="134"/>
      <c r="O28" s="134"/>
      <c r="P28" s="134"/>
      <c r="Q28" s="134"/>
      <c r="R28" s="691" t="str">
        <f>'Analyser og resultater'!$A$36</f>
        <v>Lokalitetsnavn:</v>
      </c>
      <c r="S28" s="692"/>
      <c r="T28" s="692"/>
      <c r="U28" s="693" t="str">
        <f>IF('Analyser og resultater'!$B$36="","",'Analyser og resultater'!$B$36)</f>
        <v/>
      </c>
      <c r="V28" s="694"/>
      <c r="W28" s="695"/>
      <c r="X28" s="134"/>
    </row>
    <row r="29" spans="1:24" ht="17.25" customHeight="1">
      <c r="A29" s="134"/>
      <c r="B29" s="134"/>
      <c r="C29" s="134"/>
      <c r="D29" s="134"/>
      <c r="E29" s="134"/>
      <c r="F29" s="134"/>
      <c r="G29" s="134"/>
      <c r="H29" s="134"/>
      <c r="I29" s="134"/>
      <c r="J29" s="134"/>
      <c r="K29" s="134"/>
      <c r="L29" s="134"/>
      <c r="M29" s="134"/>
      <c r="N29" s="134"/>
      <c r="O29" s="134"/>
      <c r="P29" s="134"/>
      <c r="Q29" s="134"/>
      <c r="R29" s="696" t="str">
        <f>'Analyser og resultater'!$A$37</f>
        <v>Sagsnr.:</v>
      </c>
      <c r="S29" s="697"/>
      <c r="T29" s="697"/>
      <c r="U29" s="113" t="str">
        <f>IF('Analyser og resultater'!$B$37="","",'Analyser og resultater'!$B$37)</f>
        <v/>
      </c>
      <c r="V29" s="114" t="str">
        <f>'Analyser og resultater'!$C$37</f>
        <v>Lok.nr.:</v>
      </c>
      <c r="W29" s="115" t="str">
        <f>IF('Analyser og resultater'!$D$37="","",'Analyser og resultater'!$D$37)</f>
        <v/>
      </c>
      <c r="X29" s="134"/>
    </row>
    <row r="30" spans="1:24">
      <c r="A30" s="134"/>
      <c r="B30" s="134"/>
      <c r="C30" s="134"/>
      <c r="D30" s="134"/>
      <c r="E30" s="134"/>
      <c r="F30" s="134"/>
      <c r="G30" s="134"/>
      <c r="H30" s="134"/>
      <c r="I30" s="134"/>
      <c r="J30" s="134"/>
      <c r="K30" s="134"/>
      <c r="L30" s="134"/>
      <c r="M30" s="134"/>
      <c r="N30" s="134"/>
      <c r="O30" s="134"/>
      <c r="P30" s="134"/>
      <c r="Q30" s="134"/>
      <c r="R30" s="696" t="str">
        <f>'Analyser og resultater'!$A$38</f>
        <v>Prøve / boring:</v>
      </c>
      <c r="S30" s="697"/>
      <c r="T30" s="697"/>
      <c r="U30" s="113" t="str">
        <f>IF('Analyser og resultater'!$B$38="","",'Analyser og resultater'!$B$38)</f>
        <v/>
      </c>
      <c r="V30" s="114" t="str">
        <f>'Analyser og resultater'!$C$38</f>
        <v>Dybde:</v>
      </c>
      <c r="W30" s="115" t="str">
        <f>IF('Analyser og resultater'!$D$38="","",'Analyser og resultater'!$D$38)</f>
        <v/>
      </c>
      <c r="X30" s="134"/>
    </row>
    <row r="31" spans="1:24">
      <c r="A31" s="134"/>
      <c r="B31" s="134"/>
      <c r="C31" s="134"/>
      <c r="D31" s="134"/>
      <c r="E31" s="134"/>
      <c r="F31" s="134"/>
      <c r="G31" s="134"/>
      <c r="H31" s="134"/>
      <c r="I31" s="134"/>
      <c r="J31" s="134"/>
      <c r="K31" s="134"/>
      <c r="L31" s="134"/>
      <c r="M31" s="134"/>
      <c r="N31" s="134"/>
      <c r="O31" s="134"/>
      <c r="P31" s="134"/>
      <c r="Q31" s="134"/>
      <c r="R31" s="696" t="str">
        <f>'Analyser og resultater'!$A$39</f>
        <v>Firma:</v>
      </c>
      <c r="S31" s="697"/>
      <c r="T31" s="697"/>
      <c r="U31" s="113" t="str">
        <f>IF('Analyser og resultater'!$B$39="","",'Analyser og resultater'!$B$39)</f>
        <v/>
      </c>
      <c r="V31" s="114" t="str">
        <f>'Analyser og resultater'!$C$39</f>
        <v>Udført af:</v>
      </c>
      <c r="W31" s="115" t="str">
        <f>IF('Analyser og resultater'!$D$39="","",'Analyser og resultater'!$D$39)</f>
        <v/>
      </c>
      <c r="X31" s="134"/>
    </row>
    <row r="32" spans="1:24">
      <c r="A32" s="134"/>
      <c r="B32" s="134"/>
      <c r="C32" s="134"/>
      <c r="D32" s="134"/>
      <c r="E32" s="134"/>
      <c r="F32" s="134"/>
      <c r="G32" s="134"/>
      <c r="H32" s="134"/>
      <c r="I32" s="134"/>
      <c r="J32" s="134"/>
      <c r="K32" s="134"/>
      <c r="L32" s="134"/>
      <c r="M32" s="134"/>
      <c r="N32" s="134"/>
      <c r="O32" s="134"/>
      <c r="P32" s="134"/>
      <c r="Q32" s="134"/>
      <c r="R32" s="689" t="str">
        <f>'Analyser og resultater'!$A$40</f>
        <v>Dato:</v>
      </c>
      <c r="S32" s="690"/>
      <c r="T32" s="690"/>
      <c r="U32" s="678">
        <f ca="1">IF('Analyser og resultater'!$B$40="","",'Analyser og resultater'!$B$40)</f>
        <v>45943.37626759259</v>
      </c>
      <c r="V32" s="679"/>
      <c r="W32" s="680"/>
      <c r="X32" s="134"/>
    </row>
    <row r="33" spans="1:24">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row>
    <row r="34" spans="1:24">
      <c r="A34" s="134"/>
      <c r="B34" s="134"/>
      <c r="C34" s="134"/>
      <c r="D34" s="134"/>
      <c r="E34" s="134"/>
      <c r="F34" s="134"/>
      <c r="G34" s="134"/>
      <c r="H34" s="134"/>
      <c r="I34" s="134"/>
      <c r="J34" s="134"/>
      <c r="K34" s="134"/>
      <c r="L34" s="134"/>
      <c r="M34" s="134"/>
      <c r="N34" s="134"/>
      <c r="O34" s="134"/>
      <c r="P34" s="134"/>
      <c r="Q34" s="134"/>
      <c r="R34" s="134"/>
      <c r="S34" s="134"/>
      <c r="T34" s="134"/>
      <c r="U34" s="134"/>
      <c r="V34" s="134"/>
      <c r="W34" s="567" t="str">
        <f>Intro!A33</f>
        <v>PFASen (Ver. 2.4) - 2025-10-09</v>
      </c>
      <c r="X34" s="134"/>
    </row>
  </sheetData>
  <sheetProtection algorithmName="SHA-512" hashValue="dd6TfIkv4ciQ70nj3dHF5bY0iSwvbfu2Z0hnuPWjN1f1IzZKL/EAqsNCfWTqkvJ3g8hiHZ5xYsEkcvdAq2Aq3g==" saltValue="d89Mr/Onm40FZPkg/oRekQ==" spinCount="100000" sheet="1" objects="1" scenarios="1" selectLockedCells="1" selectUnlockedCells="1"/>
  <mergeCells count="8">
    <mergeCell ref="T23:W26"/>
    <mergeCell ref="R32:T32"/>
    <mergeCell ref="U32:W32"/>
    <mergeCell ref="R28:T28"/>
    <mergeCell ref="U28:W28"/>
    <mergeCell ref="R29:T29"/>
    <mergeCell ref="R30:T30"/>
    <mergeCell ref="R31:T31"/>
  </mergeCells>
  <conditionalFormatting sqref="T23:W26">
    <cfRule type="containsText" dxfId="53" priority="1" stopIfTrue="1" operator="containsText" text="hvis">
      <formula>NOT(ISERROR(SEARCH("hvis",T23)))</formula>
    </cfRule>
    <cfRule type="cellIs" dxfId="52" priority="2" operator="notEqual">
      <formula>""</formula>
    </cfRule>
  </conditionalFormatting>
  <pageMargins left="0.7" right="0.7" top="0.75" bottom="0.75" header="0.3" footer="0.3"/>
  <pageSetup paperSize="8" scale="90"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97D49-F9F4-4AEF-A92D-A9F362092358}">
  <sheetPr codeName="Ark4">
    <tabColor rgb="FF193C65"/>
  </sheetPr>
  <dimension ref="A1:AF80"/>
  <sheetViews>
    <sheetView zoomScale="90" zoomScaleNormal="90" zoomScaleSheetLayoutView="100" workbookViewId="0">
      <selection activeCell="C10" sqref="C10"/>
    </sheetView>
  </sheetViews>
  <sheetFormatPr defaultRowHeight="17.25"/>
  <cols>
    <col min="1" max="1" width="3.5703125" style="99" customWidth="1"/>
    <col min="2" max="2" width="15.85546875" style="100" customWidth="1"/>
    <col min="3" max="3" width="4.85546875" style="100" customWidth="1"/>
    <col min="4" max="4" width="6.42578125" style="100" customWidth="1"/>
    <col min="5" max="5" width="11.5703125" style="100" customWidth="1"/>
    <col min="6" max="6" width="10.140625" style="100" customWidth="1"/>
    <col min="7" max="29" width="9.85546875" style="100" customWidth="1"/>
    <col min="30" max="30" width="4.42578125" style="100" customWidth="1"/>
    <col min="31" max="16384" width="9.140625" style="100"/>
  </cols>
  <sheetData>
    <row r="1" spans="1:32" s="99" customFormat="1" ht="13.5" customHeight="1">
      <c r="A1" s="3"/>
      <c r="B1" s="3"/>
      <c r="C1" s="3"/>
      <c r="D1" s="513"/>
      <c r="E1" s="514" t="s">
        <v>82</v>
      </c>
      <c r="F1" s="515" t="b">
        <f t="shared" ref="F1:AC1" si="0">IF(OR(ISNUMBER(F4),ISNUMBER(F5)),FALSE,TRUE)</f>
        <v>1</v>
      </c>
      <c r="G1" s="515" t="b">
        <f t="shared" si="0"/>
        <v>1</v>
      </c>
      <c r="H1" s="515" t="b">
        <f t="shared" si="0"/>
        <v>1</v>
      </c>
      <c r="I1" s="515" t="b">
        <f t="shared" si="0"/>
        <v>1</v>
      </c>
      <c r="J1" s="515" t="b">
        <f t="shared" si="0"/>
        <v>1</v>
      </c>
      <c r="K1" s="515" t="b">
        <f t="shared" si="0"/>
        <v>1</v>
      </c>
      <c r="L1" s="515" t="b">
        <f t="shared" si="0"/>
        <v>1</v>
      </c>
      <c r="M1" s="515" t="b">
        <f t="shared" si="0"/>
        <v>1</v>
      </c>
      <c r="N1" s="515" t="b">
        <f t="shared" si="0"/>
        <v>1</v>
      </c>
      <c r="O1" s="515" t="b">
        <f t="shared" si="0"/>
        <v>1</v>
      </c>
      <c r="P1" s="515" t="b">
        <f t="shared" si="0"/>
        <v>1</v>
      </c>
      <c r="Q1" s="515" t="b">
        <f t="shared" si="0"/>
        <v>1</v>
      </c>
      <c r="R1" s="515" t="b">
        <f t="shared" si="0"/>
        <v>1</v>
      </c>
      <c r="S1" s="515" t="b">
        <f t="shared" si="0"/>
        <v>1</v>
      </c>
      <c r="T1" s="515" t="b">
        <f t="shared" si="0"/>
        <v>1</v>
      </c>
      <c r="U1" s="515" t="b">
        <f t="shared" si="0"/>
        <v>1</v>
      </c>
      <c r="V1" s="515" t="b">
        <f t="shared" si="0"/>
        <v>1</v>
      </c>
      <c r="W1" s="515" t="b">
        <f t="shared" si="0"/>
        <v>1</v>
      </c>
      <c r="X1" s="515" t="b">
        <f t="shared" si="0"/>
        <v>1</v>
      </c>
      <c r="Y1" s="515" t="b">
        <f t="shared" si="0"/>
        <v>1</v>
      </c>
      <c r="Z1" s="515" t="b">
        <f t="shared" si="0"/>
        <v>1</v>
      </c>
      <c r="AA1" s="515" t="b">
        <f t="shared" si="0"/>
        <v>1</v>
      </c>
      <c r="AB1" s="515" t="b">
        <f t="shared" si="0"/>
        <v>1</v>
      </c>
      <c r="AC1" s="515" t="b">
        <f t="shared" si="0"/>
        <v>1</v>
      </c>
      <c r="AD1" s="3"/>
      <c r="AE1" s="100"/>
    </row>
    <row r="2" spans="1:32" s="99" customFormat="1" ht="21">
      <c r="A2" s="62" t="s">
        <v>85</v>
      </c>
      <c r="B2" s="62"/>
      <c r="C2" s="3"/>
      <c r="D2" s="3"/>
      <c r="E2" s="6" t="s">
        <v>65</v>
      </c>
      <c r="F2" s="505" t="str">
        <f>'Analyser og resultater'!C5</f>
        <v>PFBA</v>
      </c>
      <c r="G2" s="506" t="str">
        <f>'Analyser og resultater'!C6</f>
        <v>PFBS</v>
      </c>
      <c r="H2" s="506" t="str">
        <f>'Analyser og resultater'!C7</f>
        <v>PFPeA</v>
      </c>
      <c r="I2" s="506" t="str">
        <f>'Analyser og resultater'!C8</f>
        <v>PFHxA</v>
      </c>
      <c r="J2" s="506" t="str">
        <f>'Analyser og resultater'!C9</f>
        <v>PFPeS</v>
      </c>
      <c r="K2" s="506" t="str">
        <f>'Analyser og resultater'!C10</f>
        <v>PFHpA</v>
      </c>
      <c r="L2" s="507" t="str">
        <f>'Analyser og resultater'!C11</f>
        <v>PFHxS</v>
      </c>
      <c r="M2" s="506" t="str">
        <f>'Analyser og resultater'!C12</f>
        <v>6:2 FTS</v>
      </c>
      <c r="N2" s="507" t="str">
        <f>'Analyser og resultater'!C13</f>
        <v>PFOA</v>
      </c>
      <c r="O2" s="506" t="str">
        <f>'Analyser og resultater'!C14</f>
        <v>PFHpS</v>
      </c>
      <c r="P2" s="506" t="str">
        <f>'Analyser og resultater'!C15</f>
        <v>PFOSA</v>
      </c>
      <c r="Q2" s="507" t="str">
        <f>'Analyser og resultater'!C16</f>
        <v>PFNA</v>
      </c>
      <c r="R2" s="507" t="str">
        <f>'Analyser og resultater'!C17</f>
        <v>PFOS</v>
      </c>
      <c r="S2" s="506" t="str">
        <f>'Analyser og resultater'!C18</f>
        <v>PFDA</v>
      </c>
      <c r="T2" s="506" t="str">
        <f>'Analyser og resultater'!C19</f>
        <v>PFNS</v>
      </c>
      <c r="U2" s="506" t="str">
        <f>'Analyser og resultater'!C20</f>
        <v>PFDS</v>
      </c>
      <c r="V2" s="506" t="str">
        <f>'Analyser og resultater'!C21</f>
        <v>PFUnDA</v>
      </c>
      <c r="W2" s="506" t="str">
        <f>'Analyser og resultater'!C22</f>
        <v>PFDoDA</v>
      </c>
      <c r="X2" s="506" t="str">
        <f>'Analyser og resultater'!C23</f>
        <v>PFUnDS</v>
      </c>
      <c r="Y2" s="506" t="str">
        <f>'Analyser og resultater'!C24</f>
        <v>PFDoDS</v>
      </c>
      <c r="Z2" s="506" t="str">
        <f>'Analyser og resultater'!C25</f>
        <v>PFTrDA</v>
      </c>
      <c r="AA2" s="508" t="str">
        <f>'Analyser og resultater'!C26</f>
        <v>PFTrDS</v>
      </c>
      <c r="AB2" s="509" t="str">
        <f>'Analyser og resultater'!C27</f>
        <v>PFAS4</v>
      </c>
      <c r="AC2" s="510" t="str">
        <f>'Analyser og resultater'!C28</f>
        <v>PFAS22</v>
      </c>
      <c r="AD2" s="3"/>
      <c r="AE2" s="100"/>
    </row>
    <row r="3" spans="1:32" s="99" customFormat="1" ht="16.5" customHeight="1">
      <c r="A3" s="3"/>
      <c r="B3" s="3"/>
      <c r="C3" s="62"/>
      <c r="D3" s="3"/>
      <c r="E3" s="31" t="s">
        <v>116</v>
      </c>
      <c r="F3" s="412">
        <f>VLOOKUP(F2,'Rullelister mm.'!$I$3:$K$26,2,FALSE)</f>
        <v>3</v>
      </c>
      <c r="G3" s="413">
        <f>VLOOKUP(G2,'Rullelister mm.'!$I$3:$K$26,2,FALSE)</f>
        <v>4</v>
      </c>
      <c r="H3" s="413">
        <f>VLOOKUP(H2,'Rullelister mm.'!$I$3:$K$26,2,FALSE)</f>
        <v>4</v>
      </c>
      <c r="I3" s="413">
        <f>VLOOKUP(I2,'Rullelister mm.'!$I$3:$K$26,2,FALSE)</f>
        <v>5</v>
      </c>
      <c r="J3" s="413">
        <f>VLOOKUP(J2,'Rullelister mm.'!$I$3:$K$26,2,FALSE)</f>
        <v>5</v>
      </c>
      <c r="K3" s="413">
        <f>VLOOKUP(K2,'Rullelister mm.'!$I$3:$K$26,2,FALSE)</f>
        <v>6</v>
      </c>
      <c r="L3" s="413">
        <f>VLOOKUP(L2,'Rullelister mm.'!$I$3:$K$26,2,FALSE)</f>
        <v>6</v>
      </c>
      <c r="M3" s="413">
        <f>VLOOKUP(M2,'Rullelister mm.'!$I$3:$K$26,2,FALSE)</f>
        <v>6</v>
      </c>
      <c r="N3" s="413">
        <f>VLOOKUP(N2,'Rullelister mm.'!$I$3:$K$26,2,FALSE)</f>
        <v>7</v>
      </c>
      <c r="O3" s="413">
        <f>VLOOKUP(O2,'Rullelister mm.'!$I$3:$K$26,2,FALSE)</f>
        <v>7</v>
      </c>
      <c r="P3" s="413">
        <f>VLOOKUP(P2,'Rullelister mm.'!$I$3:$K$26,2,FALSE)</f>
        <v>8</v>
      </c>
      <c r="Q3" s="413">
        <f>VLOOKUP(Q2,'Rullelister mm.'!$I$3:$K$26,2,FALSE)</f>
        <v>8</v>
      </c>
      <c r="R3" s="413">
        <f>VLOOKUP(R2,'Rullelister mm.'!$I$3:$K$26,2,FALSE)</f>
        <v>8</v>
      </c>
      <c r="S3" s="413">
        <f>VLOOKUP(S2,'Rullelister mm.'!$I$3:$K$26,2,FALSE)</f>
        <v>9</v>
      </c>
      <c r="T3" s="413">
        <f>VLOOKUP(T2,'Rullelister mm.'!$I$3:$K$26,2,FALSE)</f>
        <v>9</v>
      </c>
      <c r="U3" s="413">
        <f>VLOOKUP(U2,'Rullelister mm.'!$I$3:$K$26,2,FALSE)</f>
        <v>10</v>
      </c>
      <c r="V3" s="413">
        <f>VLOOKUP(V2,'Rullelister mm.'!$I$3:$K$26,2,FALSE)</f>
        <v>10</v>
      </c>
      <c r="W3" s="413">
        <f>VLOOKUP(W2,'Rullelister mm.'!$I$3:$K$26,2,FALSE)</f>
        <v>11</v>
      </c>
      <c r="X3" s="413">
        <f>VLOOKUP(X2,'Rullelister mm.'!$I$3:$K$26,2,FALSE)</f>
        <v>11</v>
      </c>
      <c r="Y3" s="413">
        <f>VLOOKUP(Y2,'Rullelister mm.'!$I$3:$K$26,2,FALSE)</f>
        <v>12</v>
      </c>
      <c r="Z3" s="413">
        <f>VLOOKUP(Z2,'Rullelister mm.'!$I$3:$K$26,2,FALSE)</f>
        <v>12</v>
      </c>
      <c r="AA3" s="414">
        <f>VLOOKUP(AA2,'Rullelister mm.'!$I$3:$K$26,2,FALSE)</f>
        <v>13</v>
      </c>
      <c r="AB3" s="415" t="s">
        <v>107</v>
      </c>
      <c r="AC3" s="414" t="s">
        <v>107</v>
      </c>
      <c r="AD3" s="3"/>
      <c r="AE3" s="100"/>
    </row>
    <row r="4" spans="1:32" s="99" customFormat="1" ht="18.75">
      <c r="A4" s="3"/>
      <c r="B4" s="715" t="s">
        <v>80</v>
      </c>
      <c r="C4" s="716"/>
      <c r="D4" s="716"/>
      <c r="E4" s="416" t="s">
        <v>9</v>
      </c>
      <c r="F4" s="417" t="str">
        <f>VLOOKUP(F2,'Analyser og resultater'!$C$5:$K$28,8,FALSE)</f>
        <v/>
      </c>
      <c r="G4" s="418" t="str">
        <f>VLOOKUP(G2,'Analyser og resultater'!$C$5:$K$28,8,FALSE)</f>
        <v/>
      </c>
      <c r="H4" s="418" t="str">
        <f>VLOOKUP(H2,'Analyser og resultater'!$C$5:$K$28,8,FALSE)</f>
        <v/>
      </c>
      <c r="I4" s="418" t="str">
        <f>VLOOKUP(I2,'Analyser og resultater'!$C$5:$K$28,8,FALSE)</f>
        <v/>
      </c>
      <c r="J4" s="418" t="str">
        <f>VLOOKUP(J2,'Analyser og resultater'!$C$5:$K$28,8,FALSE)</f>
        <v/>
      </c>
      <c r="K4" s="418" t="str">
        <f>VLOOKUP(K2,'Analyser og resultater'!$C$5:$K$28,8,FALSE)</f>
        <v/>
      </c>
      <c r="L4" s="418" t="str">
        <f>VLOOKUP(L2,'Analyser og resultater'!$C$5:$K$28,8,FALSE)</f>
        <v/>
      </c>
      <c r="M4" s="418" t="str">
        <f>VLOOKUP(M2,'Analyser og resultater'!$C$5:$K$28,8,FALSE)</f>
        <v/>
      </c>
      <c r="N4" s="418" t="str">
        <f>VLOOKUP(N2,'Analyser og resultater'!$C$5:$K$28,8,FALSE)</f>
        <v/>
      </c>
      <c r="O4" s="418" t="str">
        <f>VLOOKUP(O2,'Analyser og resultater'!$C$5:$K$28,8,FALSE)</f>
        <v/>
      </c>
      <c r="P4" s="418" t="str">
        <f>VLOOKUP(P2,'Analyser og resultater'!$C$5:$K$28,8,FALSE)</f>
        <v/>
      </c>
      <c r="Q4" s="418" t="str">
        <f>VLOOKUP(Q2,'Analyser og resultater'!$C$5:$K$28,8,FALSE)</f>
        <v/>
      </c>
      <c r="R4" s="418" t="str">
        <f>VLOOKUP(R2,'Analyser og resultater'!$C$5:$K$28,8,FALSE)</f>
        <v/>
      </c>
      <c r="S4" s="418" t="str">
        <f>VLOOKUP(S2,'Analyser og resultater'!$C$5:$K$28,8,FALSE)</f>
        <v/>
      </c>
      <c r="T4" s="418" t="str">
        <f>VLOOKUP(T2,'Analyser og resultater'!$C$5:$K$28,8,FALSE)</f>
        <v/>
      </c>
      <c r="U4" s="418" t="str">
        <f>VLOOKUP(U2,'Analyser og resultater'!$C$5:$K$28,8,FALSE)</f>
        <v/>
      </c>
      <c r="V4" s="418" t="str">
        <f>VLOOKUP(V2,'Analyser og resultater'!$C$5:$K$28,8,FALSE)</f>
        <v/>
      </c>
      <c r="W4" s="418" t="str">
        <f>VLOOKUP(W2,'Analyser og resultater'!$C$5:$K$28,8,FALSE)</f>
        <v/>
      </c>
      <c r="X4" s="418" t="str">
        <f>VLOOKUP(X2,'Analyser og resultater'!$C$5:$K$28,8,FALSE)</f>
        <v/>
      </c>
      <c r="Y4" s="418" t="str">
        <f>VLOOKUP(Y2,'Analyser og resultater'!$C$5:$K$28,8,FALSE)</f>
        <v/>
      </c>
      <c r="Z4" s="418" t="str">
        <f>VLOOKUP(Z2,'Analyser og resultater'!$C$5:$K$28,8,FALSE)</f>
        <v/>
      </c>
      <c r="AA4" s="419" t="str">
        <f>VLOOKUP(AA2,'Analyser og resultater'!$C$5:$K$28,8,FALSE)</f>
        <v/>
      </c>
      <c r="AB4" s="420" t="str">
        <f>VLOOKUP(AB2,'Analyser og resultater'!$C$5:$K$28,8,FALSE)</f>
        <v/>
      </c>
      <c r="AC4" s="419" t="str">
        <f>VLOOKUP(AC2,'Analyser og resultater'!$C$5:$K$28,8,FALSE)</f>
        <v/>
      </c>
      <c r="AD4" s="421"/>
      <c r="AE4" s="100"/>
      <c r="AF4" s="102"/>
    </row>
    <row r="5" spans="1:32" ht="18.75">
      <c r="A5" s="3"/>
      <c r="B5" s="717" t="s">
        <v>81</v>
      </c>
      <c r="C5" s="718"/>
      <c r="D5" s="718"/>
      <c r="E5" s="422" t="s">
        <v>197</v>
      </c>
      <c r="F5" s="423" t="str">
        <f>VLOOKUP(F2,'Analyser og resultater'!$C$5:$K$28,9,FALSE)</f>
        <v/>
      </c>
      <c r="G5" s="424" t="str">
        <f>VLOOKUP(G2,'Analyser og resultater'!$C$5:$K$28,9,FALSE)</f>
        <v/>
      </c>
      <c r="H5" s="424" t="str">
        <f>VLOOKUP(H2,'Analyser og resultater'!$C$5:$K$28,9,FALSE)</f>
        <v/>
      </c>
      <c r="I5" s="424" t="str">
        <f>VLOOKUP(I2,'Analyser og resultater'!$C$5:$K$28,9,FALSE)</f>
        <v/>
      </c>
      <c r="J5" s="424" t="str">
        <f>VLOOKUP(J2,'Analyser og resultater'!$C$5:$K$28,9,FALSE)</f>
        <v/>
      </c>
      <c r="K5" s="424" t="str">
        <f>VLOOKUP(K2,'Analyser og resultater'!$C$5:$K$28,9,FALSE)</f>
        <v/>
      </c>
      <c r="L5" s="424" t="str">
        <f>VLOOKUP(L2,'Analyser og resultater'!$C$5:$K$28,9,FALSE)</f>
        <v/>
      </c>
      <c r="M5" s="424" t="str">
        <f>VLOOKUP(M2,'Analyser og resultater'!$C$5:$K$28,9,FALSE)</f>
        <v/>
      </c>
      <c r="N5" s="424" t="str">
        <f>VLOOKUP(N2,'Analyser og resultater'!$C$5:$K$28,9,FALSE)</f>
        <v/>
      </c>
      <c r="O5" s="424" t="str">
        <f>VLOOKUP(O2,'Analyser og resultater'!$C$5:$K$28,9,FALSE)</f>
        <v/>
      </c>
      <c r="P5" s="424" t="str">
        <f>VLOOKUP(P2,'Analyser og resultater'!$C$5:$K$28,9,FALSE)</f>
        <v/>
      </c>
      <c r="Q5" s="424" t="str">
        <f>VLOOKUP(Q2,'Analyser og resultater'!$C$5:$K$28,9,FALSE)</f>
        <v/>
      </c>
      <c r="R5" s="424" t="str">
        <f>VLOOKUP(R2,'Analyser og resultater'!$C$5:$K$28,9,FALSE)</f>
        <v/>
      </c>
      <c r="S5" s="424" t="str">
        <f>VLOOKUP(S2,'Analyser og resultater'!$C$5:$K$28,9,FALSE)</f>
        <v/>
      </c>
      <c r="T5" s="424" t="str">
        <f>VLOOKUP(T2,'Analyser og resultater'!$C$5:$K$28,9,FALSE)</f>
        <v/>
      </c>
      <c r="U5" s="424" t="str">
        <f>VLOOKUP(U2,'Analyser og resultater'!$C$5:$K$28,9,FALSE)</f>
        <v/>
      </c>
      <c r="V5" s="424" t="str">
        <f>VLOOKUP(V2,'Analyser og resultater'!$C$5:$K$28,9,FALSE)</f>
        <v/>
      </c>
      <c r="W5" s="424" t="str">
        <f>VLOOKUP(W2,'Analyser og resultater'!$C$5:$K$28,9,FALSE)</f>
        <v/>
      </c>
      <c r="X5" s="424" t="str">
        <f>VLOOKUP(X2,'Analyser og resultater'!$C$5:$K$28,9,FALSE)</f>
        <v/>
      </c>
      <c r="Y5" s="424" t="str">
        <f>VLOOKUP(Y2,'Analyser og resultater'!$C$5:$K$28,9,FALSE)</f>
        <v/>
      </c>
      <c r="Z5" s="424" t="str">
        <f>VLOOKUP(Z2,'Analyser og resultater'!$C$5:$K$28,9,FALSE)</f>
        <v/>
      </c>
      <c r="AA5" s="425" t="str">
        <f>VLOOKUP(AA2,'Analyser og resultater'!$C$5:$K$28,9,FALSE)</f>
        <v/>
      </c>
      <c r="AB5" s="426" t="str">
        <f>VLOOKUP(AB2,'Analyser og resultater'!$C$5:$K$28,9,FALSE)</f>
        <v/>
      </c>
      <c r="AC5" s="425" t="str">
        <f>VLOOKUP(AC2,'Analyser og resultater'!$C$5:$K$28,9,FALSE)</f>
        <v/>
      </c>
      <c r="AD5" s="421"/>
    </row>
    <row r="6" spans="1:32">
      <c r="A6" s="3"/>
      <c r="B6" s="3"/>
      <c r="C6" s="3"/>
      <c r="D6" s="427"/>
      <c r="E6" s="3"/>
      <c r="F6" s="428" t="str">
        <f>IF(AND(SUM(F4:AC4)&gt;0,SUM(F5:AC5)&gt;0),"Der er indtastet en blanding af jord- og vandprøveresultater",IF(SUM(F4:AC4)&gt;0,"Fasefordelingen er beregnet pba. en jordprøve",IF(AND(SUM(F4:AC4)&gt;0,SUM(F5:AC5)&gt;0),"Der er indtastet en blanding af jord- og vandprøveresultater",IF(SUM(F5:AC5)&gt;0,"Fasefordelingen er beregnet pba. en vandprøve",""))))</f>
        <v/>
      </c>
      <c r="G6" s="375"/>
      <c r="H6" s="375"/>
      <c r="I6" s="375"/>
      <c r="J6" s="375"/>
      <c r="K6" s="3"/>
      <c r="L6" s="429" t="s">
        <v>408</v>
      </c>
      <c r="M6" s="3"/>
      <c r="N6" s="3"/>
      <c r="O6" s="3"/>
      <c r="P6" s="3"/>
      <c r="Q6" s="3"/>
      <c r="R6" s="3"/>
      <c r="S6" s="3"/>
      <c r="T6" s="3"/>
      <c r="U6" s="3"/>
      <c r="V6" s="3"/>
      <c r="W6" s="3"/>
      <c r="X6" s="3"/>
      <c r="Y6" s="3"/>
      <c r="Z6" s="3"/>
      <c r="AA6" s="3"/>
      <c r="AB6" s="3"/>
      <c r="AC6" s="3"/>
      <c r="AD6" s="421"/>
    </row>
    <row r="7" spans="1:32">
      <c r="A7" s="3"/>
      <c r="B7" s="3"/>
      <c r="C7" s="3"/>
      <c r="D7" s="3"/>
      <c r="E7" s="421"/>
      <c r="F7" s="430"/>
      <c r="G7" s="431"/>
      <c r="H7" s="431"/>
      <c r="I7" s="3"/>
      <c r="J7" s="431"/>
      <c r="K7" s="431"/>
      <c r="L7" s="431"/>
      <c r="M7" s="431"/>
      <c r="N7" s="431"/>
      <c r="O7" s="431"/>
      <c r="P7" s="431"/>
      <c r="Q7" s="431"/>
      <c r="R7" s="431"/>
      <c r="S7" s="431"/>
      <c r="T7" s="431"/>
      <c r="U7" s="431"/>
      <c r="V7" s="431"/>
      <c r="W7" s="431"/>
      <c r="X7" s="431"/>
      <c r="Y7" s="431"/>
      <c r="Z7" s="431"/>
      <c r="AA7" s="431"/>
      <c r="AB7" s="431"/>
      <c r="AC7" s="431"/>
      <c r="AD7" s="3"/>
    </row>
    <row r="8" spans="1:32">
      <c r="A8" s="3"/>
      <c r="B8" s="6"/>
      <c r="C8" s="713" t="s">
        <v>108</v>
      </c>
      <c r="D8" s="713"/>
      <c r="E8" s="714" t="str">
        <f>Jordtype!B5</f>
        <v>Ingen</v>
      </c>
      <c r="F8" s="714"/>
      <c r="G8" s="714"/>
      <c r="H8" s="432" t="e">
        <f>VLOOKUP(E8,'Kia og Kd'!B11:C22,2,FALSE)</f>
        <v>#N/A</v>
      </c>
      <c r="I8" s="431"/>
      <c r="J8" s="431"/>
      <c r="K8" s="431"/>
      <c r="L8" s="431"/>
      <c r="M8" s="431"/>
      <c r="N8" s="431"/>
      <c r="O8" s="431"/>
      <c r="P8" s="431"/>
      <c r="Q8" s="431"/>
      <c r="R8" s="431"/>
      <c r="S8" s="431"/>
      <c r="T8" s="431"/>
      <c r="U8" s="431"/>
      <c r="V8" s="431"/>
      <c r="W8" s="431"/>
      <c r="X8" s="431"/>
      <c r="Y8" s="431"/>
      <c r="Z8" s="431"/>
      <c r="AA8" s="431"/>
      <c r="AB8" s="431"/>
      <c r="AC8" s="431"/>
      <c r="AD8" s="3"/>
    </row>
    <row r="9" spans="1:32" ht="18.75">
      <c r="A9" s="3"/>
      <c r="B9" s="3"/>
      <c r="C9" s="3"/>
      <c r="D9" s="433" t="s">
        <v>79</v>
      </c>
      <c r="E9" s="434" t="s">
        <v>63</v>
      </c>
      <c r="F9" s="435">
        <f>HLOOKUP(F2,'Kia og Kd'!$D$1:$Y$7,5,FALSE)</f>
        <v>2.0558905959841433E-5</v>
      </c>
      <c r="G9" s="436">
        <f>HLOOKUP(G2,'Kia og Kd'!$D$1:$Y$7,5,FALSE)</f>
        <v>9.506047936562795E-5</v>
      </c>
      <c r="H9" s="436">
        <f>HLOOKUP(H2,'Kia og Kd'!$D$1:$Y$7,5,FALSE)</f>
        <v>6.9984199600227391E-5</v>
      </c>
      <c r="I9" s="436">
        <f>HLOOKUP(I2,'Kia og Kd'!$D$1:$Y$7,5,FALSE)</f>
        <v>2.2803420720004172E-4</v>
      </c>
      <c r="J9" s="436">
        <f>HLOOKUP(J2,'Kia og Kd'!$D$1:$Y$7,5,FALSE)</f>
        <v>3.235936569296281E-4</v>
      </c>
      <c r="K9" s="436">
        <f>HLOOKUP(K2,'Kia og Kd'!$D$1:$Y$7,5,FALSE)</f>
        <v>7.7624711662869128E-4</v>
      </c>
      <c r="L9" s="436">
        <f>HLOOKUP(L2,'Kia og Kd'!$D$1:$Y$7,5,FALSE)</f>
        <v>1.0543868963912592E-3</v>
      </c>
      <c r="M9" s="436">
        <f>HLOOKUP(M2,'Kia og Kd'!$D$1:$Y$7,5,FALSE)</f>
        <v>4.4668359215096322E-3</v>
      </c>
      <c r="N9" s="436">
        <f>HLOOKUP(N2,'Kia og Kd'!$D$1:$Y$7,5,FALSE)</f>
        <v>2.5292979964461454E-3</v>
      </c>
      <c r="O9" s="436">
        <f>HLOOKUP(O2,'Kia og Kd'!$D$1:$Y$7,5,FALSE)</f>
        <v>3.589219346450056E-3</v>
      </c>
      <c r="P9" s="436">
        <f>HLOOKUP(P2,'Kia og Kd'!$D$1:$Y$7,5,FALSE)</f>
        <v>1.5205475297324958E-2</v>
      </c>
      <c r="Q9" s="436">
        <f>HLOOKUP(Q2,'Kia og Kd'!$D$1:$Y$7,5,FALSE)</f>
        <v>8.6099375218460159E-3</v>
      </c>
      <c r="R9" s="436">
        <f>HLOOKUP(R2,'Kia og Kd'!$D$1:$Y$7,5,FALSE)</f>
        <v>1.1694993910198723E-2</v>
      </c>
      <c r="S9" s="436">
        <f>HLOOKUP(S2,'Kia og Kd'!$D$1:$Y$7,5,FALSE)</f>
        <v>2.805433637951715E-2</v>
      </c>
      <c r="T9" s="436">
        <f>HLOOKUP(T2,'Kia og Kd'!$D$1:$Y$7,5,FALSE)</f>
        <v>3.9810717055349762E-2</v>
      </c>
      <c r="U9" s="436">
        <f>HLOOKUP(U2,'Kia og Kd'!$D$1:$Y$7,5,FALSE)</f>
        <v>0.12971792709839572</v>
      </c>
      <c r="V9" s="436">
        <f>HLOOKUP(V2,'Kia og Kd'!$D$1:$Y$7,5,FALSE)</f>
        <v>9.5499258602143686E-2</v>
      </c>
      <c r="W9" s="436">
        <f>HLOOKUP(W2,'Kia og Kd'!$D$1:$Y$7,5,FALSE)</f>
        <v>0.31117163371060197</v>
      </c>
      <c r="X9" s="436">
        <f>HLOOKUP(X2,'Kia og Kd'!$D$1:$Y$7,5,FALSE)</f>
        <v>0.42266861426560326</v>
      </c>
      <c r="Y9" s="436">
        <f>HLOOKUP(Y2,'Kia og Kd'!$D$1:$Y$7,5,FALSE)</f>
        <v>1.4387985782558466</v>
      </c>
      <c r="Z9" s="436">
        <f>HLOOKUP(Z2,'Kia og Kd'!$D$1:$Y$7,5,FALSE)</f>
        <v>1.0592537251772898</v>
      </c>
      <c r="AA9" s="437">
        <f>HLOOKUP(AA2,'Kia og Kd'!$D$1:$Y$7,5,FALSE)</f>
        <v>4.6881338214526558</v>
      </c>
      <c r="AB9" s="438"/>
      <c r="AC9" s="438"/>
      <c r="AD9" s="3"/>
    </row>
    <row r="10" spans="1:32">
      <c r="A10" s="60"/>
      <c r="B10" s="439"/>
      <c r="C10" s="61" t="s">
        <v>89</v>
      </c>
      <c r="D10" s="701" t="s">
        <v>124</v>
      </c>
      <c r="E10" s="702"/>
      <c r="F10" s="440" t="str">
        <f>IF($C$10="Høj",HLOOKUP(F2,'Kia og Kd'!$D$1:$Y$7,6,FALSE),IF($C$10="Lav",HLOOKUP(F2,'Kia og Kd'!$D$1:$Y$7,7,FALSE),""))</f>
        <v/>
      </c>
      <c r="G10" s="441" t="str">
        <f>IF($C$10="Høj",HLOOKUP(G2,'Kia og Kd'!$D$1:$Y$7,6,FALSE),IF($C$10="Lav",HLOOKUP(G2,'Kia og Kd'!$D$1:$Y$7,7,FALSE),""))</f>
        <v/>
      </c>
      <c r="H10" s="441" t="str">
        <f>IF($C$10="Høj",HLOOKUP(H2,'Kia og Kd'!$D$1:$Y$7,6,FALSE),IF($C$10="Lav",HLOOKUP(H2,'Kia og Kd'!$D$1:$Y$7,7,FALSE),""))</f>
        <v/>
      </c>
      <c r="I10" s="441" t="str">
        <f>IF($C$10="Høj",HLOOKUP(I2,'Kia og Kd'!$D$1:$Y$7,6,FALSE),IF($C$10="Lav",HLOOKUP(I2,'Kia og Kd'!$D$1:$Y$7,7,FALSE),""))</f>
        <v/>
      </c>
      <c r="J10" s="441" t="str">
        <f>IF($C$10="Høj",HLOOKUP(J2,'Kia og Kd'!$D$1:$Y$7,6,FALSE),IF($C$10="Lav",HLOOKUP(J2,'Kia og Kd'!$D$1:$Y$7,7,FALSE),""))</f>
        <v/>
      </c>
      <c r="K10" s="441" t="str">
        <f>IF($C$10="Høj",HLOOKUP(K2,'Kia og Kd'!$D$1:$Y$7,6,FALSE),IF($C$10="Lav",HLOOKUP(K2,'Kia og Kd'!$D$1:$Y$7,7,FALSE),""))</f>
        <v/>
      </c>
      <c r="L10" s="441" t="str">
        <f>IF($C$10="Høj",HLOOKUP(L2,'Kia og Kd'!$D$1:$Y$7,6,FALSE),IF($C$10="Lav",HLOOKUP(L2,'Kia og Kd'!$D$1:$Y$7,7,FALSE),""))</f>
        <v/>
      </c>
      <c r="M10" s="441" t="str">
        <f>IF($C$10="Høj",HLOOKUP(M2,'Kia og Kd'!$D$1:$Y$7,6,FALSE),IF($C$10="Lav",HLOOKUP(M2,'Kia og Kd'!$D$1:$Y$7,7,FALSE),""))</f>
        <v/>
      </c>
      <c r="N10" s="441" t="str">
        <f>IF($C$10="Høj",HLOOKUP(N2,'Kia og Kd'!$D$1:$Y$7,6,FALSE),IF($C$10="Lav",HLOOKUP(N2,'Kia og Kd'!$D$1:$Y$7,7,FALSE),""))</f>
        <v/>
      </c>
      <c r="O10" s="441" t="str">
        <f>IF($C$10="Høj",HLOOKUP(O2,'Kia og Kd'!$D$1:$Y$7,6,FALSE),IF($C$10="Lav",HLOOKUP(O2,'Kia og Kd'!$D$1:$Y$7,7,FALSE),""))</f>
        <v/>
      </c>
      <c r="P10" s="441" t="str">
        <f>IF($C$10="Høj",HLOOKUP(P2,'Kia og Kd'!$D$1:$Y$7,6,FALSE),IF($C$10="Lav",HLOOKUP(P2,'Kia og Kd'!$D$1:$Y$7,7,FALSE),""))</f>
        <v/>
      </c>
      <c r="Q10" s="441" t="str">
        <f>IF($C$10="Høj",HLOOKUP(Q2,'Kia og Kd'!$D$1:$Y$7,6,FALSE),IF($C$10="Lav",HLOOKUP(Q2,'Kia og Kd'!$D$1:$Y$7,7,FALSE),""))</f>
        <v/>
      </c>
      <c r="R10" s="441" t="str">
        <f>IF($C$10="Høj",HLOOKUP(R2,'Kia og Kd'!$D$1:$Y$7,6,FALSE),IF($C$10="Lav",HLOOKUP(R2,'Kia og Kd'!$D$1:$Y$7,7,FALSE),""))</f>
        <v/>
      </c>
      <c r="S10" s="441" t="str">
        <f>IF($C$10="Høj",HLOOKUP(S2,'Kia og Kd'!$D$1:$Y$7,6,FALSE),IF($C$10="Lav",HLOOKUP(S2,'Kia og Kd'!$D$1:$Y$7,7,FALSE),""))</f>
        <v/>
      </c>
      <c r="T10" s="441" t="str">
        <f>IF($C$10="Høj",HLOOKUP(T2,'Kia og Kd'!$D$1:$Y$7,6,FALSE),IF($C$10="Lav",HLOOKUP(T2,'Kia og Kd'!$D$1:$Y$7,7,FALSE),""))</f>
        <v/>
      </c>
      <c r="U10" s="441" t="str">
        <f>IF($C$10="Høj",HLOOKUP(U2,'Kia og Kd'!$D$1:$Y$7,6,FALSE),IF($C$10="Lav",HLOOKUP(U2,'Kia og Kd'!$D$1:$Y$7,7,FALSE),""))</f>
        <v/>
      </c>
      <c r="V10" s="441" t="str">
        <f>IF($C$10="Høj",HLOOKUP(V2,'Kia og Kd'!$D$1:$Y$7,6,FALSE),IF($C$10="Lav",HLOOKUP(V2,'Kia og Kd'!$D$1:$Y$7,7,FALSE),""))</f>
        <v/>
      </c>
      <c r="W10" s="441" t="str">
        <f>IF($C$10="Høj",HLOOKUP(W2,'Kia og Kd'!$D$1:$Y$7,6,FALSE),IF($C$10="Lav",HLOOKUP(W2,'Kia og Kd'!$D$1:$Y$7,7,FALSE),""))</f>
        <v/>
      </c>
      <c r="X10" s="441" t="str">
        <f>IF($C$10="Høj",HLOOKUP(X2,'Kia og Kd'!$D$1:$Y$7,6,FALSE),IF($C$10="Lav",HLOOKUP(X2,'Kia og Kd'!$D$1:$Y$7,7,FALSE),""))</f>
        <v/>
      </c>
      <c r="Y10" s="441" t="str">
        <f>IF($C$10="Høj",HLOOKUP(Y2,'Kia og Kd'!$D$1:$Y$7,6,FALSE),IF($C$10="Lav",HLOOKUP(Y2,'Kia og Kd'!$D$1:$Y$7,7,FALSE),""))</f>
        <v/>
      </c>
      <c r="Z10" s="441" t="str">
        <f>IF($C$10="Høj",HLOOKUP(Z2,'Kia og Kd'!$D$1:$Y$7,6,FALSE),IF($C$10="Lav",HLOOKUP(Z2,'Kia og Kd'!$D$1:$Y$7,7,FALSE),""))</f>
        <v/>
      </c>
      <c r="AA10" s="442" t="str">
        <f>IF($C$10="Høj",HLOOKUP(AA2,'Kia og Kd'!$D$1:$Y$7,6,FALSE),IF($C$10="Lav",HLOOKUP(AA2,'Kia og Kd'!$D$1:$Y$7,7,FALSE),""))</f>
        <v/>
      </c>
      <c r="AB10" s="438"/>
      <c r="AC10" s="438"/>
      <c r="AD10" s="3"/>
    </row>
    <row r="11" spans="1:32">
      <c r="A11" s="60"/>
      <c r="B11" s="439"/>
      <c r="C11" s="3"/>
      <c r="D11" s="699" t="s">
        <v>19</v>
      </c>
      <c r="E11" s="700"/>
      <c r="F11" s="93"/>
      <c r="G11" s="91"/>
      <c r="H11" s="91"/>
      <c r="I11" s="91"/>
      <c r="J11" s="91"/>
      <c r="K11" s="91"/>
      <c r="L11" s="91"/>
      <c r="M11" s="91"/>
      <c r="N11" s="91"/>
      <c r="O11" s="91"/>
      <c r="P11" s="91"/>
      <c r="Q11" s="91"/>
      <c r="R11" s="91"/>
      <c r="S11" s="91"/>
      <c r="T11" s="91"/>
      <c r="U11" s="91"/>
      <c r="V11" s="91"/>
      <c r="W11" s="91"/>
      <c r="X11" s="91"/>
      <c r="Y11" s="91"/>
      <c r="Z11" s="91"/>
      <c r="AA11" s="92"/>
      <c r="AB11" s="438"/>
      <c r="AC11" s="438"/>
      <c r="AD11" s="3"/>
    </row>
    <row r="12" spans="1:32" ht="18.75">
      <c r="A12" s="60"/>
      <c r="B12" s="3"/>
      <c r="C12" s="3"/>
      <c r="D12" s="433" t="s">
        <v>78</v>
      </c>
      <c r="E12" s="434" t="s">
        <v>67</v>
      </c>
      <c r="F12" s="435" t="e">
        <f>HLOOKUP(F2,'Kia og Kd'!$D$9:$Y$22,$H$8+2,FALSE)</f>
        <v>#N/A</v>
      </c>
      <c r="G12" s="436" t="e">
        <f>HLOOKUP(G2,'Kia og Kd'!$D$9:$Y$22,$H$8+2,FALSE)</f>
        <v>#N/A</v>
      </c>
      <c r="H12" s="436" t="e">
        <f>HLOOKUP(H2,'Kia og Kd'!$D$9:$Y$22,$H$8+2,FALSE)</f>
        <v>#N/A</v>
      </c>
      <c r="I12" s="436" t="e">
        <f>HLOOKUP(I2,'Kia og Kd'!$D$9:$Y$22,$H$8+2,FALSE)</f>
        <v>#N/A</v>
      </c>
      <c r="J12" s="436" t="e">
        <f>HLOOKUP(J2,'Kia og Kd'!$D$9:$Y$22,$H$8+2,FALSE)</f>
        <v>#N/A</v>
      </c>
      <c r="K12" s="436" t="e">
        <f>HLOOKUP(K2,'Kia og Kd'!$D$9:$Y$22,$H$8+2,FALSE)</f>
        <v>#N/A</v>
      </c>
      <c r="L12" s="436" t="e">
        <f>HLOOKUP(L2,'Kia og Kd'!$D$9:$Y$22,$H$8+2,FALSE)</f>
        <v>#N/A</v>
      </c>
      <c r="M12" s="436" t="e">
        <f>HLOOKUP(M2,'Kia og Kd'!$D$9:$Y$22,$H$8+2,FALSE)</f>
        <v>#N/A</v>
      </c>
      <c r="N12" s="436" t="e">
        <f>HLOOKUP(N2,'Kia og Kd'!$D$9:$Y$22,$H$8+2,FALSE)</f>
        <v>#N/A</v>
      </c>
      <c r="O12" s="436" t="e">
        <f>HLOOKUP(O2,'Kia og Kd'!$D$9:$Y$22,$H$8+2,FALSE)</f>
        <v>#N/A</v>
      </c>
      <c r="P12" s="436" t="e">
        <f>HLOOKUP(P2,'Kia og Kd'!$D$9:$Y$22,$H$8+2,FALSE)</f>
        <v>#N/A</v>
      </c>
      <c r="Q12" s="436" t="e">
        <f>HLOOKUP(Q2,'Kia og Kd'!$D$9:$Y$22,$H$8+2,FALSE)</f>
        <v>#N/A</v>
      </c>
      <c r="R12" s="436" t="e">
        <f>HLOOKUP(R2,'Kia og Kd'!$D$9:$Y$22,$H$8+2,FALSE)</f>
        <v>#N/A</v>
      </c>
      <c r="S12" s="436" t="e">
        <f>HLOOKUP(S2,'Kia og Kd'!$D$9:$Y$22,$H$8+2,FALSE)</f>
        <v>#N/A</v>
      </c>
      <c r="T12" s="436" t="e">
        <f>HLOOKUP(T2,'Kia og Kd'!$D$9:$Y$22,$H$8+2,FALSE)</f>
        <v>#N/A</v>
      </c>
      <c r="U12" s="436" t="e">
        <f>HLOOKUP(U2,'Kia og Kd'!$D$9:$Y$22,$H$8+2,FALSE)</f>
        <v>#N/A</v>
      </c>
      <c r="V12" s="436" t="e">
        <f>HLOOKUP(V2,'Kia og Kd'!$D$9:$Y$22,$H$8+2,FALSE)</f>
        <v>#N/A</v>
      </c>
      <c r="W12" s="436" t="e">
        <f>HLOOKUP(W2,'Kia og Kd'!$D$9:$Y$22,$H$8+2,FALSE)</f>
        <v>#N/A</v>
      </c>
      <c r="X12" s="436" t="e">
        <f>HLOOKUP(X2,'Kia og Kd'!$D$9:$Y$22,$H$8+2,FALSE)</f>
        <v>#N/A</v>
      </c>
      <c r="Y12" s="436" t="e">
        <f>HLOOKUP(Y2,'Kia og Kd'!$D$9:$Y$22,$H$8+2,FALSE)</f>
        <v>#N/A</v>
      </c>
      <c r="Z12" s="436" t="e">
        <f>HLOOKUP(Z2,'Kia og Kd'!$D$9:$Y$22,$H$8+2,FALSE)</f>
        <v>#N/A</v>
      </c>
      <c r="AA12" s="437" t="e">
        <f>HLOOKUP(AA2,'Kia og Kd'!$D$9:$Y$22,$H$8+2,FALSE)</f>
        <v>#N/A</v>
      </c>
      <c r="AB12" s="443"/>
      <c r="AC12" s="443"/>
      <c r="AD12" s="3"/>
    </row>
    <row r="13" spans="1:32">
      <c r="A13" s="60"/>
      <c r="B13" s="439"/>
      <c r="C13" s="61" t="s">
        <v>89</v>
      </c>
      <c r="D13" s="701" t="s">
        <v>124</v>
      </c>
      <c r="E13" s="702"/>
      <c r="F13" s="444" t="str">
        <f>IF($C$13="Høj",HLOOKUP(F2,'Kia og Kd'!$D$24:$Y$37,Følsomhedsanalyse!$H$8+2,FALSE),IF($C$13="Lav",HLOOKUP(F2,'Kia og Kd'!$D$39:$Y$52,Følsomhedsanalyse!$H$8+2,FALSE),""))</f>
        <v/>
      </c>
      <c r="G13" s="445" t="str">
        <f>IF($C$13="Høj",HLOOKUP(G2,'Kia og Kd'!$D$24:$Y$37,Følsomhedsanalyse!$H$8+2,FALSE),IF($C$13="Lav",HLOOKUP(G2,'Kia og Kd'!$D$39:$Y$52,Følsomhedsanalyse!$H$8+2,FALSE),""))</f>
        <v/>
      </c>
      <c r="H13" s="445" t="str">
        <f>IF($C$13="Høj",HLOOKUP(H2,'Kia og Kd'!$D$24:$Y$37,Følsomhedsanalyse!$H$8+2,FALSE),IF($C$13="Lav",HLOOKUP(H2,'Kia og Kd'!$D$39:$Y$52,Følsomhedsanalyse!$H$8+2,FALSE),""))</f>
        <v/>
      </c>
      <c r="I13" s="445" t="str">
        <f>IF($C$13="Høj",HLOOKUP(I2,'Kia og Kd'!$D$24:$Y$37,Følsomhedsanalyse!$H$8+2,FALSE),IF($C$13="Lav",HLOOKUP(I2,'Kia og Kd'!$D$39:$Y$52,Følsomhedsanalyse!$H$8+2,FALSE),""))</f>
        <v/>
      </c>
      <c r="J13" s="445" t="str">
        <f>IF($C$13="Høj",HLOOKUP(J2,'Kia og Kd'!$D$24:$Y$37,Følsomhedsanalyse!$H$8+2,FALSE),IF($C$13="Lav",HLOOKUP(J2,'Kia og Kd'!$D$39:$Y$52,Følsomhedsanalyse!$H$8+2,FALSE),""))</f>
        <v/>
      </c>
      <c r="K13" s="445" t="str">
        <f>IF($C$13="Høj",HLOOKUP(K2,'Kia og Kd'!$D$24:$Y$37,Følsomhedsanalyse!$H$8+2,FALSE),IF($C$13="Lav",HLOOKUP(K2,'Kia og Kd'!$D$39:$Y$52,Følsomhedsanalyse!$H$8+2,FALSE),""))</f>
        <v/>
      </c>
      <c r="L13" s="445" t="str">
        <f>IF($C$13="Høj",HLOOKUP(L2,'Kia og Kd'!$D$24:$Y$37,Følsomhedsanalyse!$H$8+2,FALSE),IF($C$13="Lav",HLOOKUP(L2,'Kia og Kd'!$D$39:$Y$52,Følsomhedsanalyse!$H$8+2,FALSE),""))</f>
        <v/>
      </c>
      <c r="M13" s="445" t="str">
        <f>IF($C$13="Høj",HLOOKUP(M2,'Kia og Kd'!$D$24:$Y$37,Følsomhedsanalyse!$H$8+2,FALSE),IF($C$13="Lav",HLOOKUP(M2,'Kia og Kd'!$D$39:$Y$52,Følsomhedsanalyse!$H$8+2,FALSE),""))</f>
        <v/>
      </c>
      <c r="N13" s="445" t="str">
        <f>IF($C$13="Høj",HLOOKUP(N2,'Kia og Kd'!$D$24:$Y$37,Følsomhedsanalyse!$H$8+2,FALSE),IF($C$13="Lav",HLOOKUP(N2,'Kia og Kd'!$D$39:$Y$52,Følsomhedsanalyse!$H$8+2,FALSE),""))</f>
        <v/>
      </c>
      <c r="O13" s="445" t="str">
        <f>IF($C$13="Høj",HLOOKUP(O2,'Kia og Kd'!$D$24:$Y$37,Følsomhedsanalyse!$H$8+2,FALSE),IF($C$13="Lav",HLOOKUP(O2,'Kia og Kd'!$D$39:$Y$52,Følsomhedsanalyse!$H$8+2,FALSE),""))</f>
        <v/>
      </c>
      <c r="P13" s="445" t="str">
        <f>IF($C$13="Høj",HLOOKUP(P2,'Kia og Kd'!$D$24:$Y$37,Følsomhedsanalyse!$H$8+2,FALSE),IF($C$13="Lav",HLOOKUP(P2,'Kia og Kd'!$D$39:$Y$52,Følsomhedsanalyse!$H$8+2,FALSE),""))</f>
        <v/>
      </c>
      <c r="Q13" s="445" t="str">
        <f>IF($C$13="Høj",HLOOKUP(Q2,'Kia og Kd'!$D$24:$Y$37,Følsomhedsanalyse!$H$8+2,FALSE),IF($C$13="Lav",HLOOKUP(Q2,'Kia og Kd'!$D$39:$Y$52,Følsomhedsanalyse!$H$8+2,FALSE),""))</f>
        <v/>
      </c>
      <c r="R13" s="445" t="str">
        <f>IF($C$13="Høj",HLOOKUP(R2,'Kia og Kd'!$D$24:$Y$37,Følsomhedsanalyse!$H$8+2,FALSE),IF($C$13="Lav",HLOOKUP(R2,'Kia og Kd'!$D$39:$Y$52,Følsomhedsanalyse!$H$8+2,FALSE),""))</f>
        <v/>
      </c>
      <c r="S13" s="445" t="str">
        <f>IF($C$13="Høj",HLOOKUP(S2,'Kia og Kd'!$D$24:$Y$37,Følsomhedsanalyse!$H$8+2,FALSE),IF($C$13="Lav",HLOOKUP(S2,'Kia og Kd'!$D$39:$Y$52,Følsomhedsanalyse!$H$8+2,FALSE),""))</f>
        <v/>
      </c>
      <c r="T13" s="445" t="str">
        <f>IF($C$13="Høj",HLOOKUP(T2,'Kia og Kd'!$D$24:$Y$37,Følsomhedsanalyse!$H$8+2,FALSE),IF($C$13="Lav",HLOOKUP(T2,'Kia og Kd'!$D$39:$Y$52,Følsomhedsanalyse!$H$8+2,FALSE),""))</f>
        <v/>
      </c>
      <c r="U13" s="445" t="str">
        <f>IF($C$13="Høj",HLOOKUP(U2,'Kia og Kd'!$D$24:$Y$37,Følsomhedsanalyse!$H$8+2,FALSE),IF($C$13="Lav",HLOOKUP(U2,'Kia og Kd'!$D$39:$Y$52,Følsomhedsanalyse!$H$8+2,FALSE),""))</f>
        <v/>
      </c>
      <c r="V13" s="445" t="str">
        <f>IF($C$13="Høj",HLOOKUP(V2,'Kia og Kd'!$D$24:$Y$37,Følsomhedsanalyse!$H$8+2,FALSE),IF($C$13="Lav",HLOOKUP(V2,'Kia og Kd'!$D$39:$Y$52,Følsomhedsanalyse!$H$8+2,FALSE),""))</f>
        <v/>
      </c>
      <c r="W13" s="445" t="str">
        <f>IF($C$13="Høj",HLOOKUP(W2,'Kia og Kd'!$D$24:$Y$37,Følsomhedsanalyse!$H$8+2,FALSE),IF($C$13="Lav",HLOOKUP(W2,'Kia og Kd'!$D$39:$Y$52,Følsomhedsanalyse!$H$8+2,FALSE),""))</f>
        <v/>
      </c>
      <c r="X13" s="445" t="str">
        <f>IF($C$13="Høj",HLOOKUP(X2,'Kia og Kd'!$D$24:$Y$37,Følsomhedsanalyse!$H$8+2,FALSE),IF($C$13="Lav",HLOOKUP(X2,'Kia og Kd'!$D$39:$Y$52,Følsomhedsanalyse!$H$8+2,FALSE),""))</f>
        <v/>
      </c>
      <c r="Y13" s="445" t="str">
        <f>IF($C$13="Høj",HLOOKUP(Y2,'Kia og Kd'!$D$24:$Y$37,Følsomhedsanalyse!$H$8+2,FALSE),IF($C$13="Lav",HLOOKUP(Y2,'Kia og Kd'!$D$39:$Y$52,Følsomhedsanalyse!$H$8+2,FALSE),""))</f>
        <v/>
      </c>
      <c r="Z13" s="445" t="str">
        <f>IF($C$13="Høj",HLOOKUP(Z2,'Kia og Kd'!$D$24:$Y$37,Følsomhedsanalyse!$H$8+2,FALSE),IF($C$13="Lav",HLOOKUP(Z2,'Kia og Kd'!$D$39:$Y$52,Følsomhedsanalyse!$H$8+2,FALSE),""))</f>
        <v/>
      </c>
      <c r="AA13" s="446" t="str">
        <f>IF($C$13="Høj",HLOOKUP(AA2,'Kia og Kd'!$D$24:$Y$37,Følsomhedsanalyse!$H$8+2,FALSE),IF($C$13="Lav",HLOOKUP(AA2,'Kia og Kd'!$D$39:$Y$52,Følsomhedsanalyse!$H$8+2,FALSE),""))</f>
        <v/>
      </c>
      <c r="AB13" s="443"/>
      <c r="AC13" s="443"/>
      <c r="AD13" s="3"/>
    </row>
    <row r="14" spans="1:32">
      <c r="A14" s="60"/>
      <c r="B14" s="439"/>
      <c r="C14" s="3"/>
      <c r="D14" s="699" t="s">
        <v>19</v>
      </c>
      <c r="E14" s="700"/>
      <c r="F14" s="94"/>
      <c r="G14" s="95"/>
      <c r="H14" s="95"/>
      <c r="I14" s="95"/>
      <c r="J14" s="95"/>
      <c r="K14" s="95"/>
      <c r="L14" s="95"/>
      <c r="M14" s="95"/>
      <c r="N14" s="95"/>
      <c r="O14" s="95"/>
      <c r="P14" s="95"/>
      <c r="Q14" s="95"/>
      <c r="R14" s="95"/>
      <c r="S14" s="95"/>
      <c r="T14" s="95"/>
      <c r="U14" s="95"/>
      <c r="V14" s="95"/>
      <c r="W14" s="95"/>
      <c r="X14" s="95"/>
      <c r="Y14" s="95"/>
      <c r="Z14" s="95"/>
      <c r="AA14" s="96"/>
      <c r="AB14" s="443"/>
      <c r="AC14" s="443"/>
      <c r="AD14" s="3"/>
    </row>
    <row r="15" spans="1:32">
      <c r="A15" s="3"/>
      <c r="B15" s="3"/>
      <c r="C15" s="3"/>
      <c r="D15" s="703" t="s">
        <v>127</v>
      </c>
      <c r="E15" s="704"/>
      <c r="F15" s="519">
        <f>IF(ISNUMBER(F11),F11,IF(ISNUMBER(F10),F10,F9))</f>
        <v>2.0558905959841433E-5</v>
      </c>
      <c r="G15" s="522">
        <f t="shared" ref="G15:AA15" si="1">IF(ISNUMBER(G11),G11,IF(ISNUMBER(G10),G10,G9))</f>
        <v>9.506047936562795E-5</v>
      </c>
      <c r="H15" s="522">
        <f t="shared" si="1"/>
        <v>6.9984199600227391E-5</v>
      </c>
      <c r="I15" s="522">
        <f t="shared" si="1"/>
        <v>2.2803420720004172E-4</v>
      </c>
      <c r="J15" s="522">
        <f t="shared" si="1"/>
        <v>3.235936569296281E-4</v>
      </c>
      <c r="K15" s="522">
        <f t="shared" si="1"/>
        <v>7.7624711662869128E-4</v>
      </c>
      <c r="L15" s="522">
        <f t="shared" si="1"/>
        <v>1.0543868963912592E-3</v>
      </c>
      <c r="M15" s="522">
        <f t="shared" si="1"/>
        <v>4.4668359215096322E-3</v>
      </c>
      <c r="N15" s="522">
        <f t="shared" si="1"/>
        <v>2.5292979964461454E-3</v>
      </c>
      <c r="O15" s="522">
        <f t="shared" si="1"/>
        <v>3.589219346450056E-3</v>
      </c>
      <c r="P15" s="522">
        <f t="shared" si="1"/>
        <v>1.5205475297324958E-2</v>
      </c>
      <c r="Q15" s="522">
        <f t="shared" si="1"/>
        <v>8.6099375218460159E-3</v>
      </c>
      <c r="R15" s="522">
        <f t="shared" si="1"/>
        <v>1.1694993910198723E-2</v>
      </c>
      <c r="S15" s="522">
        <f t="shared" si="1"/>
        <v>2.805433637951715E-2</v>
      </c>
      <c r="T15" s="522">
        <f t="shared" si="1"/>
        <v>3.9810717055349762E-2</v>
      </c>
      <c r="U15" s="522">
        <f t="shared" si="1"/>
        <v>0.12971792709839572</v>
      </c>
      <c r="V15" s="522">
        <f t="shared" si="1"/>
        <v>9.5499258602143686E-2</v>
      </c>
      <c r="W15" s="522">
        <f t="shared" si="1"/>
        <v>0.31117163371060197</v>
      </c>
      <c r="X15" s="522">
        <f t="shared" si="1"/>
        <v>0.42266861426560326</v>
      </c>
      <c r="Y15" s="522">
        <f t="shared" si="1"/>
        <v>1.4387985782558466</v>
      </c>
      <c r="Z15" s="522">
        <f t="shared" si="1"/>
        <v>1.0592537251772898</v>
      </c>
      <c r="AA15" s="516">
        <f t="shared" si="1"/>
        <v>4.6881338214526558</v>
      </c>
      <c r="AB15" s="443"/>
      <c r="AC15" s="443"/>
      <c r="AD15" s="3"/>
    </row>
    <row r="16" spans="1:32">
      <c r="A16" s="3"/>
      <c r="B16" s="3"/>
      <c r="C16" s="3"/>
      <c r="D16" s="705" t="s">
        <v>128</v>
      </c>
      <c r="E16" s="706"/>
      <c r="F16" s="520" t="e">
        <f>IF(ISNUMBER(F14),F14,IF(ISNUMBER(F13),F13,F12))</f>
        <v>#N/A</v>
      </c>
      <c r="G16" s="523" t="e">
        <f t="shared" ref="G16:AA16" si="2">IF(ISNUMBER(G14),G14,IF(ISNUMBER(G13),G13,G12))</f>
        <v>#N/A</v>
      </c>
      <c r="H16" s="523" t="e">
        <f t="shared" si="2"/>
        <v>#N/A</v>
      </c>
      <c r="I16" s="525" t="e">
        <f t="shared" si="2"/>
        <v>#N/A</v>
      </c>
      <c r="J16" s="525" t="e">
        <f t="shared" si="2"/>
        <v>#N/A</v>
      </c>
      <c r="K16" s="523" t="e">
        <f t="shared" si="2"/>
        <v>#N/A</v>
      </c>
      <c r="L16" s="523" t="e">
        <f t="shared" si="2"/>
        <v>#N/A</v>
      </c>
      <c r="M16" s="523" t="e">
        <f t="shared" si="2"/>
        <v>#N/A</v>
      </c>
      <c r="N16" s="523" t="e">
        <f t="shared" si="2"/>
        <v>#N/A</v>
      </c>
      <c r="O16" s="523" t="e">
        <f t="shared" si="2"/>
        <v>#N/A</v>
      </c>
      <c r="P16" s="523" t="e">
        <f t="shared" si="2"/>
        <v>#N/A</v>
      </c>
      <c r="Q16" s="523" t="e">
        <f t="shared" si="2"/>
        <v>#N/A</v>
      </c>
      <c r="R16" s="523" t="e">
        <f t="shared" si="2"/>
        <v>#N/A</v>
      </c>
      <c r="S16" s="523" t="e">
        <f t="shared" si="2"/>
        <v>#N/A</v>
      </c>
      <c r="T16" s="523" t="e">
        <f t="shared" si="2"/>
        <v>#N/A</v>
      </c>
      <c r="U16" s="523" t="e">
        <f t="shared" si="2"/>
        <v>#N/A</v>
      </c>
      <c r="V16" s="523" t="e">
        <f t="shared" si="2"/>
        <v>#N/A</v>
      </c>
      <c r="W16" s="523" t="e">
        <f t="shared" si="2"/>
        <v>#N/A</v>
      </c>
      <c r="X16" s="523" t="e">
        <f t="shared" si="2"/>
        <v>#N/A</v>
      </c>
      <c r="Y16" s="523" t="e">
        <f t="shared" si="2"/>
        <v>#N/A</v>
      </c>
      <c r="Z16" s="523" t="e">
        <f t="shared" si="2"/>
        <v>#N/A</v>
      </c>
      <c r="AA16" s="517" t="e">
        <f t="shared" si="2"/>
        <v>#N/A</v>
      </c>
      <c r="AB16" s="443"/>
      <c r="AC16" s="443"/>
      <c r="AD16" s="3"/>
    </row>
    <row r="17" spans="1:31">
      <c r="A17" s="3"/>
      <c r="B17" s="3"/>
      <c r="C17" s="447"/>
      <c r="D17" s="448"/>
      <c r="E17" s="449" t="s">
        <v>312</v>
      </c>
      <c r="F17" s="521" t="e">
        <f>ROUND(F80,-INT(LOG10(ABS(F80)))+'Analyser og resultater'!$N$35-1)</f>
        <v>#N/A</v>
      </c>
      <c r="G17" s="524" t="e">
        <f>ROUND(G80,-INT(LOG10(ABS(G80)))+'Analyser og resultater'!$N$35-1)</f>
        <v>#N/A</v>
      </c>
      <c r="H17" s="524" t="e">
        <f>ROUND(H80,-INT(LOG10(ABS(H80)))+'Analyser og resultater'!$N$35-1)</f>
        <v>#N/A</v>
      </c>
      <c r="I17" s="524" t="e">
        <f>ROUND(I80,-INT(LOG10(ABS(I80)))+'Analyser og resultater'!$N$35-1)</f>
        <v>#N/A</v>
      </c>
      <c r="J17" s="524" t="e">
        <f>ROUND(J80,-INT(LOG10(ABS(J80)))+'Analyser og resultater'!$N$35-1)</f>
        <v>#N/A</v>
      </c>
      <c r="K17" s="524" t="e">
        <f>ROUND(K80,-INT(LOG10(ABS(K80)))+'Analyser og resultater'!$N$35-1)</f>
        <v>#N/A</v>
      </c>
      <c r="L17" s="524" t="e">
        <f>ROUND(L80,-INT(LOG10(ABS(L80)))+'Analyser og resultater'!$N$35-1)</f>
        <v>#N/A</v>
      </c>
      <c r="M17" s="524" t="e">
        <f>ROUND(M80,-INT(LOG10(ABS(M80)))+'Analyser og resultater'!$N$35-1)</f>
        <v>#N/A</v>
      </c>
      <c r="N17" s="524" t="e">
        <f>ROUND(N80,-INT(LOG10(ABS(N80)))+'Analyser og resultater'!$N$35-1)</f>
        <v>#N/A</v>
      </c>
      <c r="O17" s="524" t="e">
        <f>ROUND(O80,-INT(LOG10(ABS(O80)))+'Analyser og resultater'!$N$35-1)</f>
        <v>#N/A</v>
      </c>
      <c r="P17" s="524" t="e">
        <f>ROUND(P80,-INT(LOG10(ABS(P80)))+'Analyser og resultater'!$N$35-1)</f>
        <v>#N/A</v>
      </c>
      <c r="Q17" s="524" t="e">
        <f>ROUND(Q80,-INT(LOG10(ABS(Q80)))+'Analyser og resultater'!$N$35-1)</f>
        <v>#N/A</v>
      </c>
      <c r="R17" s="524" t="e">
        <f>ROUND(R80,-INT(LOG10(ABS(R80)))+'Analyser og resultater'!$N$35-1)</f>
        <v>#N/A</v>
      </c>
      <c r="S17" s="524" t="e">
        <f>ROUND(S80,-INT(LOG10(ABS(S80)))+'Analyser og resultater'!$N$35-1)</f>
        <v>#N/A</v>
      </c>
      <c r="T17" s="524" t="e">
        <f>ROUND(T80,-INT(LOG10(ABS(T80)))+'Analyser og resultater'!$N$35-1)</f>
        <v>#N/A</v>
      </c>
      <c r="U17" s="524" t="e">
        <f>ROUND(U80,-INT(LOG10(ABS(U80)))+'Analyser og resultater'!$N$35-1)</f>
        <v>#N/A</v>
      </c>
      <c r="V17" s="524" t="e">
        <f>ROUND(V80,-INT(LOG10(ABS(V80)))+'Analyser og resultater'!$N$35-1)</f>
        <v>#N/A</v>
      </c>
      <c r="W17" s="524" t="e">
        <f>ROUND(W80,-INT(LOG10(ABS(W80)))+'Analyser og resultater'!$N$35-1)</f>
        <v>#N/A</v>
      </c>
      <c r="X17" s="524" t="e">
        <f>ROUND(X80,-INT(LOG10(ABS(X80)))+'Analyser og resultater'!$N$35-1)</f>
        <v>#N/A</v>
      </c>
      <c r="Y17" s="524" t="e">
        <f>ROUND(Y80,-INT(LOG10(ABS(Y80)))+'Analyser og resultater'!$N$35-1)</f>
        <v>#N/A</v>
      </c>
      <c r="Z17" s="524" t="e">
        <f>ROUND(Z80,-INT(LOG10(ABS(Z80)))+'Analyser og resultater'!$N$35-1)</f>
        <v>#N/A</v>
      </c>
      <c r="AA17" s="518" t="e">
        <f>ROUND(AA80,-INT(LOG10(ABS(AA80)))+'Analyser og resultater'!$N$35-1)</f>
        <v>#N/A</v>
      </c>
      <c r="AB17" s="438"/>
      <c r="AC17" s="438"/>
      <c r="AD17" s="3"/>
    </row>
    <row r="18" spans="1:31">
      <c r="A18" s="3"/>
      <c r="B18" s="3"/>
      <c r="C18" s="450"/>
      <c r="D18" s="450"/>
      <c r="E18" s="451"/>
      <c r="F18" s="452"/>
      <c r="G18" s="452"/>
      <c r="H18" s="452"/>
      <c r="I18" s="452"/>
      <c r="J18" s="452"/>
      <c r="K18" s="452"/>
      <c r="L18" s="452"/>
      <c r="M18" s="452"/>
      <c r="N18" s="452"/>
      <c r="O18" s="452"/>
      <c r="P18" s="452"/>
      <c r="Q18" s="452"/>
      <c r="R18" s="452"/>
      <c r="S18" s="452"/>
      <c r="T18" s="452"/>
      <c r="U18" s="452"/>
      <c r="V18" s="452"/>
      <c r="W18" s="452"/>
      <c r="X18" s="452"/>
      <c r="Y18" s="452"/>
      <c r="Z18" s="452"/>
      <c r="AA18" s="452"/>
      <c r="AB18" s="438"/>
      <c r="AC18" s="438"/>
      <c r="AD18" s="3"/>
    </row>
    <row r="19" spans="1:31">
      <c r="A19" s="3"/>
      <c r="B19" s="3"/>
      <c r="C19" s="3"/>
      <c r="D19" s="375"/>
      <c r="E19" s="375"/>
      <c r="F19" s="453" t="str">
        <f>F2</f>
        <v>PFBA</v>
      </c>
      <c r="G19" s="454" t="str">
        <f t="shared" ref="G19:AA19" si="3">G2</f>
        <v>PFBS</v>
      </c>
      <c r="H19" s="454" t="str">
        <f t="shared" si="3"/>
        <v>PFPeA</v>
      </c>
      <c r="I19" s="454" t="str">
        <f t="shared" si="3"/>
        <v>PFHxA</v>
      </c>
      <c r="J19" s="454" t="str">
        <f t="shared" si="3"/>
        <v>PFPeS</v>
      </c>
      <c r="K19" s="454" t="str">
        <f t="shared" si="3"/>
        <v>PFHpA</v>
      </c>
      <c r="L19" s="455" t="str">
        <f t="shared" si="3"/>
        <v>PFHxS</v>
      </c>
      <c r="M19" s="454" t="str">
        <f t="shared" si="3"/>
        <v>6:2 FTS</v>
      </c>
      <c r="N19" s="455" t="str">
        <f t="shared" si="3"/>
        <v>PFOA</v>
      </c>
      <c r="O19" s="454" t="str">
        <f t="shared" si="3"/>
        <v>PFHpS</v>
      </c>
      <c r="P19" s="454" t="str">
        <f t="shared" si="3"/>
        <v>PFOSA</v>
      </c>
      <c r="Q19" s="455" t="str">
        <f t="shared" si="3"/>
        <v>PFNA</v>
      </c>
      <c r="R19" s="455" t="str">
        <f t="shared" si="3"/>
        <v>PFOS</v>
      </c>
      <c r="S19" s="454" t="str">
        <f t="shared" si="3"/>
        <v>PFDA</v>
      </c>
      <c r="T19" s="454" t="str">
        <f t="shared" si="3"/>
        <v>PFNS</v>
      </c>
      <c r="U19" s="454" t="str">
        <f t="shared" si="3"/>
        <v>PFDS</v>
      </c>
      <c r="V19" s="454" t="str">
        <f t="shared" si="3"/>
        <v>PFUnDA</v>
      </c>
      <c r="W19" s="454" t="str">
        <f t="shared" si="3"/>
        <v>PFDoDA</v>
      </c>
      <c r="X19" s="454" t="str">
        <f t="shared" si="3"/>
        <v>PFUnDS</v>
      </c>
      <c r="Y19" s="454" t="str">
        <f t="shared" si="3"/>
        <v>PFDoDS</v>
      </c>
      <c r="Z19" s="454" t="str">
        <f t="shared" si="3"/>
        <v>PFTrDA</v>
      </c>
      <c r="AA19" s="456" t="str">
        <f t="shared" si="3"/>
        <v>PFTrDS</v>
      </c>
      <c r="AB19" s="457" t="str">
        <f>AB2</f>
        <v>PFAS4</v>
      </c>
      <c r="AC19" s="458" t="str">
        <f>AC2</f>
        <v>PFAS22</v>
      </c>
      <c r="AD19" s="3"/>
    </row>
    <row r="20" spans="1:31" ht="18.75">
      <c r="A20" s="60"/>
      <c r="B20" s="3"/>
      <c r="C20" s="698" t="s">
        <v>113</v>
      </c>
      <c r="D20" s="459" t="s">
        <v>69</v>
      </c>
      <c r="E20" s="460" t="s">
        <v>9</v>
      </c>
      <c r="F20" s="461" t="str">
        <f>IF(F1,"",IF(SUM(F4)&gt;0,F4,F25/Jordtype!$E$18))</f>
        <v/>
      </c>
      <c r="G20" s="461" t="str">
        <f>IF(G1,"",IF(SUM(G4)&gt;0,G4,G25/Jordtype!$E$18))</f>
        <v/>
      </c>
      <c r="H20" s="461" t="str">
        <f>IF(H1,"",IF(SUM(H4)&gt;0,H4,H25/Jordtype!$E$18))</f>
        <v/>
      </c>
      <c r="I20" s="461" t="str">
        <f>IF(I1,"",IF(SUM(I4)&gt;0,I4,I25/Jordtype!$E$18))</f>
        <v/>
      </c>
      <c r="J20" s="461" t="str">
        <f>IF(J1,"",IF(SUM(J4)&gt;0,J4,J25/Jordtype!$E$18))</f>
        <v/>
      </c>
      <c r="K20" s="461" t="str">
        <f>IF(K1,"",IF(SUM(K4)&gt;0,K4,K25/Jordtype!$E$18))</f>
        <v/>
      </c>
      <c r="L20" s="461" t="str">
        <f>IF(L1,"",IF(SUM(L4)&gt;0,L4,L25/Jordtype!$E$18))</f>
        <v/>
      </c>
      <c r="M20" s="461" t="str">
        <f>IF(M1,"",IF(SUM(M4)&gt;0,M4,M25/Jordtype!$E$18))</f>
        <v/>
      </c>
      <c r="N20" s="461" t="str">
        <f>IF(N1,"",IF(SUM(N4)&gt;0,N4,N25/Jordtype!$E$18))</f>
        <v/>
      </c>
      <c r="O20" s="461" t="str">
        <f>IF(O1,"",IF(SUM(O4)&gt;0,O4,O25/Jordtype!$E$18))</f>
        <v/>
      </c>
      <c r="P20" s="461" t="str">
        <f>IF(P1,"",IF(SUM(P4)&gt;0,P4,P25/Jordtype!$E$18))</f>
        <v/>
      </c>
      <c r="Q20" s="461" t="str">
        <f>IF(Q1,"",IF(SUM(Q4)&gt;0,Q4,Q25/Jordtype!$E$18))</f>
        <v/>
      </c>
      <c r="R20" s="461" t="str">
        <f>IF(R1,"",IF(SUM(R4)&gt;0,R4,R25/Jordtype!$E$18))</f>
        <v/>
      </c>
      <c r="S20" s="461" t="str">
        <f>IF(S1,"",IF(SUM(S4)&gt;0,S4,S25/Jordtype!$E$18))</f>
        <v/>
      </c>
      <c r="T20" s="461" t="str">
        <f>IF(T1,"",IF(SUM(T4)&gt;0,T4,T25/Jordtype!$E$18))</f>
        <v/>
      </c>
      <c r="U20" s="461" t="str">
        <f>IF(U1,"",IF(SUM(U4)&gt;0,U4,U25/Jordtype!$E$18))</f>
        <v/>
      </c>
      <c r="V20" s="461" t="str">
        <f>IF(V1,"",IF(SUM(V4)&gt;0,V4,V25/Jordtype!$E$18))</f>
        <v/>
      </c>
      <c r="W20" s="461" t="str">
        <f>IF(W1,"",IF(SUM(W4)&gt;0,W4,W25/Jordtype!$E$18))</f>
        <v/>
      </c>
      <c r="X20" s="461" t="str">
        <f>IF(X1,"",IF(SUM(X4)&gt;0,X4,X25/Jordtype!$E$18))</f>
        <v/>
      </c>
      <c r="Y20" s="461" t="str">
        <f>IF(Y1,"",IF(SUM(Y4)&gt;0,Y4,Y25/Jordtype!$E$18))</f>
        <v/>
      </c>
      <c r="Z20" s="461" t="str">
        <f>IF(Z1,"",IF(SUM(Z4)&gt;0,Z4,Z25/Jordtype!$E$18))</f>
        <v/>
      </c>
      <c r="AA20" s="462" t="str">
        <f>IF(AA1,"",IF(SUM(AA4)&gt;0,AA4,AA25/Jordtype!$E$18))</f>
        <v/>
      </c>
      <c r="AB20" s="463" t="str">
        <f>IF(SUM(L20,N20,Q20:R20)=0,"",SUM(L20,N20,Q20:R20))</f>
        <v/>
      </c>
      <c r="AC20" s="464" t="str">
        <f>IF(SUM(F20:AA20)=0,"",SUM(F20:AA20))</f>
        <v/>
      </c>
      <c r="AD20" s="3"/>
      <c r="AE20" s="101"/>
    </row>
    <row r="21" spans="1:31" ht="18.75">
      <c r="A21" s="60"/>
      <c r="B21" s="3"/>
      <c r="C21" s="698"/>
      <c r="D21" s="465" t="s">
        <v>71</v>
      </c>
      <c r="E21" s="466" t="s">
        <v>309</v>
      </c>
      <c r="F21" s="487" t="str">
        <f>IF(F1,"",IF(SUM(F4)&gt;0,F25/(F80*Jordtype!$E$13),F5/1000))</f>
        <v/>
      </c>
      <c r="G21" s="488" t="str">
        <f>IF(G1,"",IF(SUM(G4)&gt;0,G25/(G80*Jordtype!$E$13),G5/1000))</f>
        <v/>
      </c>
      <c r="H21" s="488" t="str">
        <f>IF(H1,"",IF(SUM(H4)&gt;0,H25/(H80*Jordtype!$E$13),H5/1000))</f>
        <v/>
      </c>
      <c r="I21" s="488" t="str">
        <f>IF(I1,"",IF(SUM(I4)&gt;0,I25/(I80*Jordtype!$E$13),I5/1000))</f>
        <v/>
      </c>
      <c r="J21" s="488" t="str">
        <f>IF(J1,"",IF(SUM(J4)&gt;0,J25/(J80*Jordtype!$E$13),J5/1000))</f>
        <v/>
      </c>
      <c r="K21" s="488" t="str">
        <f>IF(K1,"",IF(SUM(K4)&gt;0,K25/(K80*Jordtype!$E$13),K5/1000))</f>
        <v/>
      </c>
      <c r="L21" s="488" t="str">
        <f>IF(L1,"",IF(SUM(L4)&gt;0,L25/(L80*Jordtype!$E$13),L5/1000))</f>
        <v/>
      </c>
      <c r="M21" s="488" t="str">
        <f>IF(M1,"",IF(SUM(M4)&gt;0,M25/(M80*Jordtype!$E$13),M5/1000))</f>
        <v/>
      </c>
      <c r="N21" s="488" t="str">
        <f>IF(N1,"",IF(SUM(N4)&gt;0,N25/(N80*Jordtype!$E$13),N5/1000))</f>
        <v/>
      </c>
      <c r="O21" s="488" t="str">
        <f>IF(O1,"",IF(SUM(O4)&gt;0,O25/(O80*Jordtype!$E$13),O5/1000))</f>
        <v/>
      </c>
      <c r="P21" s="488" t="str">
        <f>IF(P1,"",IF(SUM(P4)&gt;0,P25/(P80*Jordtype!$E$13),P5/1000))</f>
        <v/>
      </c>
      <c r="Q21" s="488" t="str">
        <f>IF(Q1,"",IF(SUM(Q4)&gt;0,Q25/(Q80*Jordtype!$E$13),Q5/1000))</f>
        <v/>
      </c>
      <c r="R21" s="488" t="str">
        <f>IF(R1,"",IF(SUM(R4)&gt;0,R25/(R80*Jordtype!$E$13),R5/1000))</f>
        <v/>
      </c>
      <c r="S21" s="488" t="str">
        <f>IF(S1,"",IF(SUM(S4)&gt;0,S25/(S80*Jordtype!$E$13),S5/1000))</f>
        <v/>
      </c>
      <c r="T21" s="488" t="str">
        <f>IF(T1,"",IF(SUM(T4)&gt;0,T25/(T80*Jordtype!$E$13),T5/1000))</f>
        <v/>
      </c>
      <c r="U21" s="488" t="str">
        <f>IF(U1,"",IF(SUM(U4)&gt;0,U25/(U80*Jordtype!$E$13),U5/1000))</f>
        <v/>
      </c>
      <c r="V21" s="488" t="str">
        <f>IF(V1,"",IF(SUM(V4)&gt;0,V25/(V80*Jordtype!$E$13),V5/1000))</f>
        <v/>
      </c>
      <c r="W21" s="488" t="str">
        <f>IF(W1,"",IF(SUM(W4)&gt;0,W25/(W80*Jordtype!$E$13),W5/1000))</f>
        <v/>
      </c>
      <c r="X21" s="488" t="str">
        <f>IF(X1,"",IF(SUM(X4)&gt;0,X25/(X80*Jordtype!$E$13),X5/1000))</f>
        <v/>
      </c>
      <c r="Y21" s="488" t="str">
        <f>IF(Y1,"",IF(SUM(Y4)&gt;0,Y25/(Y80*Jordtype!$E$13),Y5/1000))</f>
        <v/>
      </c>
      <c r="Z21" s="488" t="str">
        <f>IF(Z1,"",IF(SUM(Z4)&gt;0,Z25/(Z80*Jordtype!$E$13),Z5/1000))</f>
        <v/>
      </c>
      <c r="AA21" s="489" t="str">
        <f>IF(AA1,"",IF(SUM(AA4)&gt;0,AA25/(AA80*Jordtype!$E$13),AA5/1000))</f>
        <v/>
      </c>
      <c r="AB21" s="490" t="str">
        <f t="shared" ref="AB21:AB23" si="4">IF(SUM(L21,N21,Q21:R21)=0,"",SUM(L21,N21,Q21:R21))</f>
        <v/>
      </c>
      <c r="AC21" s="491" t="str">
        <f t="shared" ref="AC21:AC23" si="5">IF(SUM(F21:AA21)=0,"",SUM(F21:AA21))</f>
        <v/>
      </c>
      <c r="AD21" s="3"/>
    </row>
    <row r="22" spans="1:31" ht="18.75">
      <c r="A22" s="60"/>
      <c r="B22" s="3"/>
      <c r="C22" s="698"/>
      <c r="D22" s="467" t="s">
        <v>73</v>
      </c>
      <c r="E22" s="468" t="s">
        <v>9</v>
      </c>
      <c r="F22" s="469" t="str">
        <f>IF(F1,"",F21*F16)</f>
        <v/>
      </c>
      <c r="G22" s="470" t="str">
        <f t="shared" ref="G22:AA22" si="6">IF(G1,"",G21*G16)</f>
        <v/>
      </c>
      <c r="H22" s="470" t="str">
        <f t="shared" si="6"/>
        <v/>
      </c>
      <c r="I22" s="470" t="str">
        <f t="shared" si="6"/>
        <v/>
      </c>
      <c r="J22" s="470" t="str">
        <f t="shared" si="6"/>
        <v/>
      </c>
      <c r="K22" s="470" t="str">
        <f t="shared" si="6"/>
        <v/>
      </c>
      <c r="L22" s="470" t="str">
        <f t="shared" si="6"/>
        <v/>
      </c>
      <c r="M22" s="470" t="str">
        <f t="shared" si="6"/>
        <v/>
      </c>
      <c r="N22" s="470" t="str">
        <f t="shared" si="6"/>
        <v/>
      </c>
      <c r="O22" s="470" t="str">
        <f t="shared" si="6"/>
        <v/>
      </c>
      <c r="P22" s="470" t="str">
        <f t="shared" si="6"/>
        <v/>
      </c>
      <c r="Q22" s="470" t="str">
        <f t="shared" si="6"/>
        <v/>
      </c>
      <c r="R22" s="470" t="str">
        <f t="shared" si="6"/>
        <v/>
      </c>
      <c r="S22" s="470" t="str">
        <f t="shared" si="6"/>
        <v/>
      </c>
      <c r="T22" s="470" t="str">
        <f t="shared" si="6"/>
        <v/>
      </c>
      <c r="U22" s="470" t="str">
        <f t="shared" si="6"/>
        <v/>
      </c>
      <c r="V22" s="470" t="str">
        <f t="shared" si="6"/>
        <v/>
      </c>
      <c r="W22" s="470" t="str">
        <f t="shared" si="6"/>
        <v/>
      </c>
      <c r="X22" s="470" t="str">
        <f t="shared" si="6"/>
        <v/>
      </c>
      <c r="Y22" s="470" t="str">
        <f t="shared" si="6"/>
        <v/>
      </c>
      <c r="Z22" s="470" t="str">
        <f t="shared" si="6"/>
        <v/>
      </c>
      <c r="AA22" s="471" t="str">
        <f t="shared" si="6"/>
        <v/>
      </c>
      <c r="AB22" s="472" t="str">
        <f t="shared" si="4"/>
        <v/>
      </c>
      <c r="AC22" s="473" t="str">
        <f t="shared" si="5"/>
        <v/>
      </c>
      <c r="AD22" s="3"/>
    </row>
    <row r="23" spans="1:31" ht="19.5">
      <c r="A23" s="60"/>
      <c r="B23" s="3"/>
      <c r="C23" s="698"/>
      <c r="D23" s="474" t="s">
        <v>74</v>
      </c>
      <c r="E23" s="475" t="s">
        <v>68</v>
      </c>
      <c r="F23" s="476" t="str">
        <f>IF(Jordtype!$E$17=0,"",IF(F1,"",(F25-F26-F27)/(Jordtype!$E$17*10)))</f>
        <v/>
      </c>
      <c r="G23" s="477" t="str">
        <f>IF(Jordtype!$E$17=0,"",IF(G1,"",(G25-G26-G27)/(Jordtype!$E$17*10)))</f>
        <v/>
      </c>
      <c r="H23" s="477" t="str">
        <f>IF(Jordtype!$E$17=0,"",IF(H1,"",(H25-H26-H27)/(Jordtype!$E$17*10)))</f>
        <v/>
      </c>
      <c r="I23" s="477" t="str">
        <f>IF(Jordtype!$E$17=0,"",IF(I1,"",(I25-I26-I27)/(Jordtype!$E$17*10)))</f>
        <v/>
      </c>
      <c r="J23" s="477" t="str">
        <f>IF(Jordtype!$E$17=0,"",IF(J1,"",(J25-J26-J27)/(Jordtype!$E$17*10)))</f>
        <v/>
      </c>
      <c r="K23" s="477" t="str">
        <f>IF(Jordtype!$E$17=0,"",IF(K1,"",(K25-K26-K27)/(Jordtype!$E$17*10)))</f>
        <v/>
      </c>
      <c r="L23" s="477" t="str">
        <f>IF(Jordtype!$E$17=0,"",IF(L1,"",(L25-L26-L27)/(Jordtype!$E$17*10)))</f>
        <v/>
      </c>
      <c r="M23" s="477" t="str">
        <f>IF(Jordtype!$E$17=0,"",IF(M1,"",(M25-M26-M27)/(Jordtype!$E$17*10)))</f>
        <v/>
      </c>
      <c r="N23" s="477" t="str">
        <f>IF(Jordtype!$E$17=0,"",IF(N1,"",(N25-N26-N27)/(Jordtype!$E$17*10)))</f>
        <v/>
      </c>
      <c r="O23" s="477" t="str">
        <f>IF(Jordtype!$E$17=0,"",IF(O1,"",(O25-O26-O27)/(Jordtype!$E$17*10)))</f>
        <v/>
      </c>
      <c r="P23" s="477" t="str">
        <f>IF(Jordtype!$E$17=0,"",IF(P1,"",(P25-P26-P27)/(Jordtype!$E$17*10)))</f>
        <v/>
      </c>
      <c r="Q23" s="477" t="str">
        <f>IF(Jordtype!$E$17=0,"",IF(Q1,"",(Q25-Q26-Q27)/(Jordtype!$E$17*10)))</f>
        <v/>
      </c>
      <c r="R23" s="477" t="str">
        <f>IF(Jordtype!$E$17=0,"",IF(R1,"",(R25-R26-R27)/(Jordtype!$E$17*10)))</f>
        <v/>
      </c>
      <c r="S23" s="477" t="str">
        <f>IF(Jordtype!$E$17=0,"",IF(S1,"",(S25-S26-S27)/(Jordtype!$E$17*10)))</f>
        <v/>
      </c>
      <c r="T23" s="477" t="str">
        <f>IF(Jordtype!$E$17=0,"",IF(T1,"",(T25-T26-T27)/(Jordtype!$E$17*10)))</f>
        <v/>
      </c>
      <c r="U23" s="477" t="str">
        <f>IF(Jordtype!$E$17=0,"",IF(U1,"",(U25-U26-U27)/(Jordtype!$E$17*10)))</f>
        <v/>
      </c>
      <c r="V23" s="477" t="str">
        <f>IF(Jordtype!$E$17=0,"",IF(V1,"",(V25-V26-V27)/(Jordtype!$E$17*10)))</f>
        <v/>
      </c>
      <c r="W23" s="477" t="str">
        <f>IF(Jordtype!$E$17=0,"",IF(W1,"",(W25-W26-W27)/(Jordtype!$E$17*10)))</f>
        <v/>
      </c>
      <c r="X23" s="477" t="str">
        <f>IF(Jordtype!$E$17=0,"",IF(X1,"",(X25-X26-X27)/(Jordtype!$E$17*10)))</f>
        <v/>
      </c>
      <c r="Y23" s="477" t="str">
        <f>IF(Jordtype!$E$17=0,"",IF(Y1,"",(Y25-Y26-Y27)/(Jordtype!$E$17*10)))</f>
        <v/>
      </c>
      <c r="Z23" s="477" t="str">
        <f>IF(Jordtype!$E$17=0,"",IF(Z1,"",(Z25-Z26-Z27)/(Jordtype!$E$17*10)))</f>
        <v/>
      </c>
      <c r="AA23" s="478" t="str">
        <f>IF(Jordtype!$E$17=0,"",IF(AA1,"",(AA25-AA26-AA27)/(Jordtype!$E$17*10)))</f>
        <v/>
      </c>
      <c r="AB23" s="479" t="str">
        <f t="shared" si="4"/>
        <v/>
      </c>
      <c r="AC23" s="480" t="str">
        <f t="shared" si="5"/>
        <v/>
      </c>
      <c r="AD23" s="3"/>
    </row>
    <row r="24" spans="1:31" ht="11.25" customHeight="1">
      <c r="A24" s="60"/>
      <c r="B24" s="3"/>
      <c r="C24" s="3"/>
      <c r="D24" s="3"/>
      <c r="E24" s="3"/>
      <c r="F24" s="481"/>
      <c r="G24" s="481"/>
      <c r="H24" s="481"/>
      <c r="I24" s="481"/>
      <c r="J24" s="481"/>
      <c r="K24" s="481"/>
      <c r="L24" s="481"/>
      <c r="M24" s="481"/>
      <c r="N24" s="481"/>
      <c r="O24" s="481"/>
      <c r="P24" s="481"/>
      <c r="Q24" s="481"/>
      <c r="R24" s="481"/>
      <c r="S24" s="481"/>
      <c r="T24" s="481"/>
      <c r="U24" s="481"/>
      <c r="V24" s="481"/>
      <c r="W24" s="481"/>
      <c r="X24" s="481"/>
      <c r="Y24" s="481"/>
      <c r="Z24" s="481"/>
      <c r="AA24" s="481"/>
      <c r="AB24" s="482"/>
      <c r="AC24" s="482"/>
      <c r="AD24" s="3"/>
    </row>
    <row r="25" spans="1:31" ht="18.75">
      <c r="A25" s="60"/>
      <c r="B25" s="3"/>
      <c r="C25" s="698" t="s">
        <v>114</v>
      </c>
      <c r="D25" s="459" t="s">
        <v>70</v>
      </c>
      <c r="E25" s="460" t="s">
        <v>64</v>
      </c>
      <c r="F25" s="483" t="str">
        <f>IF(F1,"",IF(SUM(F4)&gt;0,F4*Jordtype!$E$18,F21*(F80*Jordtype!$E$13)))</f>
        <v/>
      </c>
      <c r="G25" s="483" t="str">
        <f>IF(G1,"",IF(SUM(G4)&gt;0,G4*Jordtype!$E$18,G21*(G80*Jordtype!$E$13)))</f>
        <v/>
      </c>
      <c r="H25" s="483" t="str">
        <f>IF(H1,"",IF(SUM(H4)&gt;0,H4*Jordtype!$E$18,H21*(H80*Jordtype!$E$13)))</f>
        <v/>
      </c>
      <c r="I25" s="483" t="str">
        <f>IF(I1,"",IF(SUM(I4)&gt;0,I4*Jordtype!$E$18,I21*(I80*Jordtype!$E$13)))</f>
        <v/>
      </c>
      <c r="J25" s="483" t="str">
        <f>IF(J1,"",IF(SUM(J4)&gt;0,J4*Jordtype!$E$18,J21*(J80*Jordtype!$E$13)))</f>
        <v/>
      </c>
      <c r="K25" s="483" t="str">
        <f>IF(K1,"",IF(SUM(K4)&gt;0,K4*Jordtype!$E$18,K21*(K80*Jordtype!$E$13)))</f>
        <v/>
      </c>
      <c r="L25" s="483" t="str">
        <f>IF(L1,"",IF(SUM(L4)&gt;0,L4*Jordtype!$E$18,L21*(L80*Jordtype!$E$13)))</f>
        <v/>
      </c>
      <c r="M25" s="483" t="str">
        <f>IF(M1,"",IF(SUM(M4)&gt;0,M4*Jordtype!$E$18,M21*(M80*Jordtype!$E$13)))</f>
        <v/>
      </c>
      <c r="N25" s="483" t="str">
        <f>IF(N1,"",IF(SUM(N4)&gt;0,N4*Jordtype!$E$18,N21*(N80*Jordtype!$E$13)))</f>
        <v/>
      </c>
      <c r="O25" s="483" t="str">
        <f>IF(O1,"",IF(SUM(O4)&gt;0,O4*Jordtype!$E$18,O21*(O80*Jordtype!$E$13)))</f>
        <v/>
      </c>
      <c r="P25" s="483" t="str">
        <f>IF(P1,"",IF(SUM(P4)&gt;0,P4*Jordtype!$E$18,P21*(P80*Jordtype!$E$13)))</f>
        <v/>
      </c>
      <c r="Q25" s="483" t="str">
        <f>IF(Q1,"",IF(SUM(Q4)&gt;0,Q4*Jordtype!$E$18,Q21*(Q80*Jordtype!$E$13)))</f>
        <v/>
      </c>
      <c r="R25" s="483" t="str">
        <f>IF(R1,"",IF(SUM(R4)&gt;0,R4*Jordtype!$E$18,R21*(R80*Jordtype!$E$13)))</f>
        <v/>
      </c>
      <c r="S25" s="483" t="str">
        <f>IF(S1,"",IF(SUM(S4)&gt;0,S4*Jordtype!$E$18,S21*(S80*Jordtype!$E$13)))</f>
        <v/>
      </c>
      <c r="T25" s="483" t="str">
        <f>IF(T1,"",IF(SUM(T4)&gt;0,T4*Jordtype!$E$18,T21*(T80*Jordtype!$E$13)))</f>
        <v/>
      </c>
      <c r="U25" s="483" t="str">
        <f>IF(U1,"",IF(SUM(U4)&gt;0,U4*Jordtype!$E$18,U21*(U80*Jordtype!$E$13)))</f>
        <v/>
      </c>
      <c r="V25" s="483" t="str">
        <f>IF(V1,"",IF(SUM(V4)&gt;0,V4*Jordtype!$E$18,V21*(V80*Jordtype!$E$13)))</f>
        <v/>
      </c>
      <c r="W25" s="483" t="str">
        <f>IF(W1,"",IF(SUM(W4)&gt;0,W4*Jordtype!$E$18,W21*(W80*Jordtype!$E$13)))</f>
        <v/>
      </c>
      <c r="X25" s="483" t="str">
        <f>IF(X1,"",IF(SUM(X4)&gt;0,X4*Jordtype!$E$18,X21*(X80*Jordtype!$E$13)))</f>
        <v/>
      </c>
      <c r="Y25" s="483" t="str">
        <f>IF(Y1,"",IF(SUM(Y4)&gt;0,Y4*Jordtype!$E$18,Y21*(Y80*Jordtype!$E$13)))</f>
        <v/>
      </c>
      <c r="Z25" s="483" t="str">
        <f>IF(Z1,"",IF(SUM(Z4)&gt;0,Z4*Jordtype!$E$18,Z21*(Z80*Jordtype!$E$13)))</f>
        <v/>
      </c>
      <c r="AA25" s="484" t="str">
        <f>IF(AA1,"",IF(SUM(AA4)&gt;0,AA4*Jordtype!$E$18,AA21*(AA80*Jordtype!$E$13)))</f>
        <v/>
      </c>
      <c r="AB25" s="485" t="str">
        <f>IF(SUM(L25,N25,Q25:R25)=0,"",SUM(L25,N25,Q25:R25))</f>
        <v/>
      </c>
      <c r="AC25" s="486" t="str">
        <f>IF(SUM(F25:AA25)=0,"",SUM(F25:AA25))</f>
        <v/>
      </c>
      <c r="AD25" s="3"/>
      <c r="AE25" s="101"/>
    </row>
    <row r="26" spans="1:31" ht="18.75">
      <c r="A26" s="60"/>
      <c r="B26" s="3"/>
      <c r="C26" s="698"/>
      <c r="D26" s="465" t="s">
        <v>72</v>
      </c>
      <c r="E26" s="466" t="s">
        <v>64</v>
      </c>
      <c r="F26" s="487" t="str">
        <f>IF(F1,"",F21*Jordtype!$E$13)</f>
        <v/>
      </c>
      <c r="G26" s="488" t="str">
        <f>IF(G1,"",G21*Jordtype!$E$13)</f>
        <v/>
      </c>
      <c r="H26" s="488" t="str">
        <f>IF(H1,"",H21*Jordtype!$E$13)</f>
        <v/>
      </c>
      <c r="I26" s="488" t="str">
        <f>IF(I1,"",I21*Jordtype!$E$13)</f>
        <v/>
      </c>
      <c r="J26" s="488" t="str">
        <f>IF(J1,"",J21*Jordtype!$E$13)</f>
        <v/>
      </c>
      <c r="K26" s="488" t="str">
        <f>IF(K1,"",K21*Jordtype!$E$13)</f>
        <v/>
      </c>
      <c r="L26" s="488" t="str">
        <f>IF(L1,"",L21*Jordtype!$E$13)</f>
        <v/>
      </c>
      <c r="M26" s="488" t="str">
        <f>IF(M1,"",M21*Jordtype!$E$13)</f>
        <v/>
      </c>
      <c r="N26" s="488" t="str">
        <f>IF(N1,"",N21*Jordtype!$E$13)</f>
        <v/>
      </c>
      <c r="O26" s="488" t="str">
        <f>IF(O1,"",O21*Jordtype!$E$13)</f>
        <v/>
      </c>
      <c r="P26" s="488" t="str">
        <f>IF(P1,"",P21*Jordtype!$E$13)</f>
        <v/>
      </c>
      <c r="Q26" s="488" t="str">
        <f>IF(Q1,"",Q21*Jordtype!$E$13)</f>
        <v/>
      </c>
      <c r="R26" s="488" t="str">
        <f>IF(R1,"",R21*Jordtype!$E$13)</f>
        <v/>
      </c>
      <c r="S26" s="488" t="str">
        <f>IF(S1,"",S21*Jordtype!$E$13)</f>
        <v/>
      </c>
      <c r="T26" s="488" t="str">
        <f>IF(T1,"",T21*Jordtype!$E$13)</f>
        <v/>
      </c>
      <c r="U26" s="488" t="str">
        <f>IF(U1,"",U21*Jordtype!$E$13)</f>
        <v/>
      </c>
      <c r="V26" s="488" t="str">
        <f>IF(V1,"",V21*Jordtype!$E$13)</f>
        <v/>
      </c>
      <c r="W26" s="488" t="str">
        <f>IF(W1,"",W21*Jordtype!$E$13)</f>
        <v/>
      </c>
      <c r="X26" s="488" t="str">
        <f>IF(X1,"",X21*Jordtype!$E$13)</f>
        <v/>
      </c>
      <c r="Y26" s="488" t="str">
        <f>IF(Y1,"",Y21*Jordtype!$E$13)</f>
        <v/>
      </c>
      <c r="Z26" s="488" t="str">
        <f>IF(Z1,"",Z21*Jordtype!$E$13)</f>
        <v/>
      </c>
      <c r="AA26" s="489" t="str">
        <f>IF(AA1,"",AA21*Jordtype!$E$13)</f>
        <v/>
      </c>
      <c r="AB26" s="490" t="str">
        <f t="shared" ref="AB26:AB28" si="7">IF(SUM(L26,N26,Q26:R26)=0,"",SUM(L26,N26,Q26:R26))</f>
        <v/>
      </c>
      <c r="AC26" s="491" t="str">
        <f t="shared" ref="AC26:AC28" si="8">IF(SUM(F26:AA26)=0,"",SUM(F26:AA26))</f>
        <v/>
      </c>
      <c r="AD26" s="3"/>
    </row>
    <row r="27" spans="1:31" ht="18.75">
      <c r="A27" s="60"/>
      <c r="B27" s="3"/>
      <c r="C27" s="698"/>
      <c r="D27" s="467" t="s">
        <v>119</v>
      </c>
      <c r="E27" s="468" t="s">
        <v>64</v>
      </c>
      <c r="F27" s="469" t="str">
        <f>IF(F1,"",F22*Jordtype!$J$7)</f>
        <v/>
      </c>
      <c r="G27" s="470" t="str">
        <f>IF(G1,"",G22*Jordtype!$J$7)</f>
        <v/>
      </c>
      <c r="H27" s="470" t="str">
        <f>IF(H1,"",H22*Jordtype!$J$7)</f>
        <v/>
      </c>
      <c r="I27" s="470" t="str">
        <f>IF(I1,"",I22*Jordtype!$J$7)</f>
        <v/>
      </c>
      <c r="J27" s="470" t="str">
        <f>IF(J1,"",J22*Jordtype!$J$7)</f>
        <v/>
      </c>
      <c r="K27" s="470" t="str">
        <f>IF(K1,"",K22*Jordtype!$J$7)</f>
        <v/>
      </c>
      <c r="L27" s="470" t="str">
        <f>IF(L1,"",L22*Jordtype!$J$7)</f>
        <v/>
      </c>
      <c r="M27" s="470" t="str">
        <f>IF(M1,"",M22*Jordtype!$J$7)</f>
        <v/>
      </c>
      <c r="N27" s="470" t="str">
        <f>IF(N1,"",N22*Jordtype!$J$7)</f>
        <v/>
      </c>
      <c r="O27" s="470" t="str">
        <f>IF(O1,"",O22*Jordtype!$J$7)</f>
        <v/>
      </c>
      <c r="P27" s="470" t="str">
        <f>IF(P1,"",P22*Jordtype!$J$7)</f>
        <v/>
      </c>
      <c r="Q27" s="470" t="str">
        <f>IF(Q1,"",Q22*Jordtype!$J$7)</f>
        <v/>
      </c>
      <c r="R27" s="470" t="str">
        <f>IF(R1,"",R22*Jordtype!$J$7)</f>
        <v/>
      </c>
      <c r="S27" s="470" t="str">
        <f>IF(S1,"",S22*Jordtype!$J$7)</f>
        <v/>
      </c>
      <c r="T27" s="470" t="str">
        <f>IF(T1,"",T22*Jordtype!$J$7)</f>
        <v/>
      </c>
      <c r="U27" s="470" t="str">
        <f>IF(U1,"",U22*Jordtype!$J$7)</f>
        <v/>
      </c>
      <c r="V27" s="470" t="str">
        <f>IF(V1,"",V22*Jordtype!$J$7)</f>
        <v/>
      </c>
      <c r="W27" s="470" t="str">
        <f>IF(W1,"",W22*Jordtype!$J$7)</f>
        <v/>
      </c>
      <c r="X27" s="470" t="str">
        <f>IF(X1,"",X22*Jordtype!$J$7)</f>
        <v/>
      </c>
      <c r="Y27" s="470" t="str">
        <f>IF(Y1,"",Y22*Jordtype!$J$7)</f>
        <v/>
      </c>
      <c r="Z27" s="470" t="str">
        <f>IF(Z1,"",Z22*Jordtype!$J$7)</f>
        <v/>
      </c>
      <c r="AA27" s="471" t="str">
        <f>IF(AA1,"",AA22*Jordtype!$J$7)</f>
        <v/>
      </c>
      <c r="AB27" s="472" t="str">
        <f t="shared" si="7"/>
        <v/>
      </c>
      <c r="AC27" s="473" t="str">
        <f t="shared" si="8"/>
        <v/>
      </c>
      <c r="AD27" s="3"/>
    </row>
    <row r="28" spans="1:31" ht="18.75">
      <c r="A28" s="60"/>
      <c r="B28" s="3"/>
      <c r="C28" s="698"/>
      <c r="D28" s="474" t="s">
        <v>75</v>
      </c>
      <c r="E28" s="475" t="s">
        <v>64</v>
      </c>
      <c r="F28" s="492" t="str">
        <f>IF(F23="","",IF(F1,"",F23*Jordtype!$E$17*10))</f>
        <v/>
      </c>
      <c r="G28" s="493" t="str">
        <f>IF(G23="","",IF(G1,"",G23*Jordtype!$E$17*10))</f>
        <v/>
      </c>
      <c r="H28" s="493" t="str">
        <f>IF(H23="","",IF(H1,"",H23*Jordtype!$E$17*10))</f>
        <v/>
      </c>
      <c r="I28" s="493" t="str">
        <f>IF(I23="","",IF(I1,"",I23*Jordtype!$E$17*10))</f>
        <v/>
      </c>
      <c r="J28" s="493" t="str">
        <f>IF(J23="","",IF(J1,"",J23*Jordtype!$E$17*10))</f>
        <v/>
      </c>
      <c r="K28" s="493" t="str">
        <f>IF(K23="","",IF(K1,"",K23*Jordtype!$E$17*10))</f>
        <v/>
      </c>
      <c r="L28" s="493" t="str">
        <f>IF(L23="","",IF(L1,"",L23*Jordtype!$E$17*10))</f>
        <v/>
      </c>
      <c r="M28" s="493" t="str">
        <f>IF(M23="","",IF(M1,"",M23*Jordtype!$E$17*10))</f>
        <v/>
      </c>
      <c r="N28" s="493" t="str">
        <f>IF(N23="","",IF(N1,"",N23*Jordtype!$E$17*10))</f>
        <v/>
      </c>
      <c r="O28" s="493" t="str">
        <f>IF(O23="","",IF(O1,"",O23*Jordtype!$E$17*10))</f>
        <v/>
      </c>
      <c r="P28" s="493" t="str">
        <f>IF(P23="","",IF(P1,"",P23*Jordtype!$E$17*10))</f>
        <v/>
      </c>
      <c r="Q28" s="493" t="str">
        <f>IF(Q23="","",IF(Q1,"",Q23*Jordtype!$E$17*10))</f>
        <v/>
      </c>
      <c r="R28" s="493" t="str">
        <f>IF(R23="","",IF(R1,"",R23*Jordtype!$E$17*10))</f>
        <v/>
      </c>
      <c r="S28" s="493" t="str">
        <f>IF(S23="","",IF(S1,"",S23*Jordtype!$E$17*10))</f>
        <v/>
      </c>
      <c r="T28" s="493" t="str">
        <f>IF(T23="","",IF(T1,"",T23*Jordtype!$E$17*10))</f>
        <v/>
      </c>
      <c r="U28" s="493" t="str">
        <f>IF(U23="","",IF(U1,"",U23*Jordtype!$E$17*10))</f>
        <v/>
      </c>
      <c r="V28" s="493" t="str">
        <f>IF(V23="","",IF(V1,"",V23*Jordtype!$E$17*10))</f>
        <v/>
      </c>
      <c r="W28" s="493" t="str">
        <f>IF(W23="","",IF(W1,"",W23*Jordtype!$E$17*10))</f>
        <v/>
      </c>
      <c r="X28" s="493" t="str">
        <f>IF(X23="","",IF(X1,"",X23*Jordtype!$E$17*10))</f>
        <v/>
      </c>
      <c r="Y28" s="493" t="str">
        <f>IF(Y23="","",IF(Y1,"",Y23*Jordtype!$E$17*10))</f>
        <v/>
      </c>
      <c r="Z28" s="493" t="str">
        <f>IF(Z23="","",IF(Z1,"",Z23*Jordtype!$E$17*10))</f>
        <v/>
      </c>
      <c r="AA28" s="494" t="str">
        <f>IF(AA23="","",IF(AA1,"",AA23*Jordtype!$E$17*10))</f>
        <v/>
      </c>
      <c r="AB28" s="495" t="str">
        <f t="shared" si="7"/>
        <v/>
      </c>
      <c r="AC28" s="496" t="str">
        <f t="shared" si="8"/>
        <v/>
      </c>
      <c r="AD28" s="3"/>
    </row>
    <row r="29" spans="1:31" ht="11.25" customHeight="1">
      <c r="A29" s="60"/>
      <c r="B29" s="3"/>
      <c r="C29" s="3"/>
      <c r="D29" s="497"/>
      <c r="E29" s="375"/>
      <c r="F29" s="481"/>
      <c r="G29" s="481"/>
      <c r="H29" s="481"/>
      <c r="I29" s="481"/>
      <c r="J29" s="481"/>
      <c r="K29" s="481"/>
      <c r="L29" s="481"/>
      <c r="M29" s="481"/>
      <c r="N29" s="481"/>
      <c r="O29" s="481"/>
      <c r="P29" s="481"/>
      <c r="Q29" s="481"/>
      <c r="R29" s="481"/>
      <c r="S29" s="481"/>
      <c r="T29" s="481"/>
      <c r="U29" s="481"/>
      <c r="V29" s="481"/>
      <c r="W29" s="481"/>
      <c r="X29" s="481"/>
      <c r="Y29" s="481"/>
      <c r="Z29" s="481"/>
      <c r="AA29" s="481"/>
      <c r="AB29" s="482"/>
      <c r="AC29" s="482"/>
      <c r="AD29" s="3"/>
    </row>
    <row r="30" spans="1:31" ht="18.75">
      <c r="A30" s="60"/>
      <c r="B30" s="3"/>
      <c r="C30" s="698" t="s">
        <v>120</v>
      </c>
      <c r="D30" s="459" t="s">
        <v>115</v>
      </c>
      <c r="E30" s="498" t="s">
        <v>5</v>
      </c>
      <c r="F30" s="499" t="str">
        <f t="shared" ref="F30:AA30" si="9">IF(F1,"",SUM(F31:F33))</f>
        <v/>
      </c>
      <c r="G30" s="500" t="str">
        <f t="shared" si="9"/>
        <v/>
      </c>
      <c r="H30" s="500" t="str">
        <f t="shared" si="9"/>
        <v/>
      </c>
      <c r="I30" s="500" t="str">
        <f t="shared" si="9"/>
        <v/>
      </c>
      <c r="J30" s="500" t="str">
        <f t="shared" si="9"/>
        <v/>
      </c>
      <c r="K30" s="500" t="str">
        <f t="shared" si="9"/>
        <v/>
      </c>
      <c r="L30" s="500" t="str">
        <f t="shared" si="9"/>
        <v/>
      </c>
      <c r="M30" s="500" t="str">
        <f t="shared" si="9"/>
        <v/>
      </c>
      <c r="N30" s="500" t="str">
        <f t="shared" si="9"/>
        <v/>
      </c>
      <c r="O30" s="500" t="str">
        <f t="shared" si="9"/>
        <v/>
      </c>
      <c r="P30" s="500" t="str">
        <f t="shared" si="9"/>
        <v/>
      </c>
      <c r="Q30" s="500" t="str">
        <f t="shared" si="9"/>
        <v/>
      </c>
      <c r="R30" s="500" t="str">
        <f t="shared" si="9"/>
        <v/>
      </c>
      <c r="S30" s="500" t="str">
        <f t="shared" si="9"/>
        <v/>
      </c>
      <c r="T30" s="500" t="str">
        <f t="shared" si="9"/>
        <v/>
      </c>
      <c r="U30" s="500" t="str">
        <f t="shared" si="9"/>
        <v/>
      </c>
      <c r="V30" s="500" t="str">
        <f t="shared" si="9"/>
        <v/>
      </c>
      <c r="W30" s="500" t="str">
        <f t="shared" si="9"/>
        <v/>
      </c>
      <c r="X30" s="500" t="str">
        <f t="shared" si="9"/>
        <v/>
      </c>
      <c r="Y30" s="500" t="str">
        <f t="shared" si="9"/>
        <v/>
      </c>
      <c r="Z30" s="500" t="str">
        <f t="shared" si="9"/>
        <v/>
      </c>
      <c r="AA30" s="501" t="str">
        <f t="shared" si="9"/>
        <v/>
      </c>
      <c r="AB30" s="482"/>
      <c r="AC30" s="482"/>
      <c r="AD30" s="3"/>
    </row>
    <row r="31" spans="1:31" ht="18.75">
      <c r="A31" s="60"/>
      <c r="B31" s="502" t="s">
        <v>2</v>
      </c>
      <c r="C31" s="698"/>
      <c r="D31" s="503" t="s">
        <v>76</v>
      </c>
      <c r="E31" s="504" t="s">
        <v>5</v>
      </c>
      <c r="F31" s="63" t="str">
        <f t="shared" ref="F31:AA31" si="10">IF(F1,"",F26/F25)</f>
        <v/>
      </c>
      <c r="G31" s="64" t="str">
        <f t="shared" si="10"/>
        <v/>
      </c>
      <c r="H31" s="64" t="str">
        <f t="shared" si="10"/>
        <v/>
      </c>
      <c r="I31" s="64" t="str">
        <f t="shared" si="10"/>
        <v/>
      </c>
      <c r="J31" s="64" t="str">
        <f t="shared" si="10"/>
        <v/>
      </c>
      <c r="K31" s="64" t="str">
        <f t="shared" si="10"/>
        <v/>
      </c>
      <c r="L31" s="64" t="str">
        <f t="shared" si="10"/>
        <v/>
      </c>
      <c r="M31" s="64" t="str">
        <f t="shared" si="10"/>
        <v/>
      </c>
      <c r="N31" s="64" t="str">
        <f t="shared" si="10"/>
        <v/>
      </c>
      <c r="O31" s="64" t="str">
        <f t="shared" si="10"/>
        <v/>
      </c>
      <c r="P31" s="64" t="str">
        <f t="shared" si="10"/>
        <v/>
      </c>
      <c r="Q31" s="64" t="str">
        <f t="shared" si="10"/>
        <v/>
      </c>
      <c r="R31" s="64" t="str">
        <f t="shared" si="10"/>
        <v/>
      </c>
      <c r="S31" s="64" t="str">
        <f t="shared" si="10"/>
        <v/>
      </c>
      <c r="T31" s="64" t="str">
        <f t="shared" si="10"/>
        <v/>
      </c>
      <c r="U31" s="64" t="str">
        <f t="shared" si="10"/>
        <v/>
      </c>
      <c r="V31" s="64" t="str">
        <f t="shared" si="10"/>
        <v/>
      </c>
      <c r="W31" s="64" t="str">
        <f t="shared" si="10"/>
        <v/>
      </c>
      <c r="X31" s="64" t="str">
        <f t="shared" si="10"/>
        <v/>
      </c>
      <c r="Y31" s="64" t="str">
        <f t="shared" si="10"/>
        <v/>
      </c>
      <c r="Z31" s="64" t="str">
        <f t="shared" si="10"/>
        <v/>
      </c>
      <c r="AA31" s="65" t="str">
        <f t="shared" si="10"/>
        <v/>
      </c>
      <c r="AB31" s="482"/>
      <c r="AC31" s="482"/>
      <c r="AD31" s="3"/>
    </row>
    <row r="32" spans="1:31" ht="18.75">
      <c r="A32" s="60"/>
      <c r="B32" s="502" t="s">
        <v>3</v>
      </c>
      <c r="C32" s="698"/>
      <c r="D32" s="467" t="s">
        <v>77</v>
      </c>
      <c r="E32" s="468" t="s">
        <v>5</v>
      </c>
      <c r="F32" s="66" t="str">
        <f t="shared" ref="F32:AA32" si="11">IF(F1,"",F27/F25)</f>
        <v/>
      </c>
      <c r="G32" s="67" t="str">
        <f t="shared" si="11"/>
        <v/>
      </c>
      <c r="H32" s="67" t="str">
        <f t="shared" si="11"/>
        <v/>
      </c>
      <c r="I32" s="67" t="str">
        <f t="shared" si="11"/>
        <v/>
      </c>
      <c r="J32" s="67" t="str">
        <f t="shared" si="11"/>
        <v/>
      </c>
      <c r="K32" s="67" t="str">
        <f t="shared" si="11"/>
        <v/>
      </c>
      <c r="L32" s="67" t="str">
        <f t="shared" si="11"/>
        <v/>
      </c>
      <c r="M32" s="67" t="str">
        <f t="shared" si="11"/>
        <v/>
      </c>
      <c r="N32" s="67" t="str">
        <f t="shared" si="11"/>
        <v/>
      </c>
      <c r="O32" s="67" t="str">
        <f t="shared" si="11"/>
        <v/>
      </c>
      <c r="P32" s="67" t="str">
        <f t="shared" si="11"/>
        <v/>
      </c>
      <c r="Q32" s="67" t="str">
        <f t="shared" si="11"/>
        <v/>
      </c>
      <c r="R32" s="67" t="str">
        <f t="shared" si="11"/>
        <v/>
      </c>
      <c r="S32" s="67" t="str">
        <f t="shared" si="11"/>
        <v/>
      </c>
      <c r="T32" s="67" t="str">
        <f t="shared" si="11"/>
        <v/>
      </c>
      <c r="U32" s="67" t="str">
        <f t="shared" si="11"/>
        <v/>
      </c>
      <c r="V32" s="67" t="str">
        <f t="shared" si="11"/>
        <v/>
      </c>
      <c r="W32" s="67" t="str">
        <f t="shared" si="11"/>
        <v/>
      </c>
      <c r="X32" s="67" t="str">
        <f t="shared" si="11"/>
        <v/>
      </c>
      <c r="Y32" s="67" t="str">
        <f t="shared" si="11"/>
        <v/>
      </c>
      <c r="Z32" s="67" t="str">
        <f t="shared" si="11"/>
        <v/>
      </c>
      <c r="AA32" s="68" t="str">
        <f t="shared" si="11"/>
        <v/>
      </c>
      <c r="AB32" s="482"/>
      <c r="AC32" s="482"/>
      <c r="AD32" s="3"/>
    </row>
    <row r="33" spans="1:30" ht="18.75">
      <c r="A33" s="60"/>
      <c r="B33" s="502" t="s">
        <v>168</v>
      </c>
      <c r="C33" s="698"/>
      <c r="D33" s="474" t="s">
        <v>201</v>
      </c>
      <c r="E33" s="475" t="s">
        <v>5</v>
      </c>
      <c r="F33" s="69" t="str">
        <f t="shared" ref="F33:AA33" si="12">IF(AND(F32&lt;&gt;"",F23=""),0,IF(F1,"",F28/F25))</f>
        <v/>
      </c>
      <c r="G33" s="70" t="str">
        <f t="shared" si="12"/>
        <v/>
      </c>
      <c r="H33" s="70" t="str">
        <f t="shared" si="12"/>
        <v/>
      </c>
      <c r="I33" s="70" t="str">
        <f t="shared" si="12"/>
        <v/>
      </c>
      <c r="J33" s="70" t="str">
        <f t="shared" si="12"/>
        <v/>
      </c>
      <c r="K33" s="70" t="str">
        <f t="shared" si="12"/>
        <v/>
      </c>
      <c r="L33" s="70" t="str">
        <f t="shared" si="12"/>
        <v/>
      </c>
      <c r="M33" s="70" t="str">
        <f t="shared" si="12"/>
        <v/>
      </c>
      <c r="N33" s="70" t="str">
        <f t="shared" si="12"/>
        <v/>
      </c>
      <c r="O33" s="70" t="str">
        <f t="shared" si="12"/>
        <v/>
      </c>
      <c r="P33" s="70" t="str">
        <f t="shared" si="12"/>
        <v/>
      </c>
      <c r="Q33" s="70" t="str">
        <f t="shared" si="12"/>
        <v/>
      </c>
      <c r="R33" s="70" t="str">
        <f t="shared" si="12"/>
        <v/>
      </c>
      <c r="S33" s="70" t="str">
        <f t="shared" si="12"/>
        <v/>
      </c>
      <c r="T33" s="70" t="str">
        <f t="shared" si="12"/>
        <v/>
      </c>
      <c r="U33" s="70" t="str">
        <f t="shared" si="12"/>
        <v/>
      </c>
      <c r="V33" s="70" t="str">
        <f t="shared" si="12"/>
        <v/>
      </c>
      <c r="W33" s="70" t="str">
        <f t="shared" si="12"/>
        <v/>
      </c>
      <c r="X33" s="70" t="str">
        <f t="shared" si="12"/>
        <v/>
      </c>
      <c r="Y33" s="70" t="str">
        <f t="shared" si="12"/>
        <v/>
      </c>
      <c r="Z33" s="70" t="str">
        <f t="shared" si="12"/>
        <v/>
      </c>
      <c r="AA33" s="71" t="str">
        <f t="shared" si="12"/>
        <v/>
      </c>
      <c r="AB33" s="482"/>
      <c r="AC33" s="482"/>
      <c r="AD33" s="3"/>
    </row>
    <row r="34" spans="1:30">
      <c r="A34" s="60"/>
      <c r="B34" s="3"/>
      <c r="C34" s="3"/>
      <c r="D34" s="3"/>
      <c r="E34" s="3"/>
      <c r="F34" s="512"/>
      <c r="G34" s="3"/>
      <c r="H34" s="335"/>
      <c r="I34" s="3"/>
      <c r="J34" s="3"/>
      <c r="K34" s="3"/>
      <c r="L34" s="72"/>
      <c r="M34" s="3"/>
      <c r="N34" s="3"/>
      <c r="O34" s="3"/>
      <c r="P34" s="3"/>
      <c r="Q34" s="3"/>
      <c r="R34" s="3"/>
      <c r="S34" s="3"/>
      <c r="T34" s="3"/>
      <c r="U34" s="3"/>
      <c r="V34" s="3"/>
      <c r="W34" s="3"/>
      <c r="X34" s="3"/>
      <c r="Y34" s="3"/>
      <c r="Z34" s="3"/>
      <c r="AA34" s="3"/>
      <c r="AB34" s="438"/>
      <c r="AC34" s="438"/>
      <c r="AD34" s="3"/>
    </row>
    <row r="35" spans="1:30" ht="17.25" customHeight="1">
      <c r="A35" s="60"/>
      <c r="B35" s="3"/>
      <c r="C35" s="3"/>
      <c r="D35" s="711" t="str">
        <f>'Analyser og resultater'!$A$36</f>
        <v>Lokalitetsnavn:</v>
      </c>
      <c r="E35" s="712"/>
      <c r="F35" s="693" t="str">
        <f>IF('Analyser og resultater'!$B$36="","",'Analyser og resultater'!$B$36)</f>
        <v/>
      </c>
      <c r="G35" s="694"/>
      <c r="H35" s="695"/>
      <c r="I35" s="3"/>
      <c r="J35" s="3"/>
      <c r="K35" s="3"/>
      <c r="L35" s="3"/>
      <c r="M35" s="3"/>
      <c r="N35" s="3"/>
      <c r="O35" s="3"/>
      <c r="P35" s="3"/>
      <c r="Q35" s="3"/>
      <c r="R35" s="3"/>
      <c r="S35" s="3"/>
      <c r="T35" s="3"/>
      <c r="U35" s="688" t="str">
        <f>'Analyser og resultater'!Q29</f>
        <v>OBS:
Der er fejl i jordtypevalg (i fanen Jordtype).</v>
      </c>
      <c r="V35" s="688"/>
      <c r="W35" s="688"/>
      <c r="X35" s="3"/>
      <c r="Y35" s="3"/>
      <c r="Z35" s="3"/>
      <c r="AA35" s="3"/>
      <c r="AB35" s="438"/>
      <c r="AC35" s="438"/>
      <c r="AD35" s="3"/>
    </row>
    <row r="36" spans="1:30">
      <c r="A36" s="60"/>
      <c r="B36" s="3"/>
      <c r="C36" s="3"/>
      <c r="D36" s="707" t="str">
        <f>'Analyser og resultater'!$A$37</f>
        <v>Sagsnr.:</v>
      </c>
      <c r="E36" s="708"/>
      <c r="F36" s="113" t="str">
        <f>IF('Analyser og resultater'!$B$37="","",'Analyser og resultater'!$B$37)</f>
        <v/>
      </c>
      <c r="G36" s="114" t="str">
        <f>'Analyser og resultater'!$C$37</f>
        <v>Lok.nr.:</v>
      </c>
      <c r="H36" s="115" t="str">
        <f>IF('Analyser og resultater'!$D$37="","",'Analyser og resultater'!$D$37)</f>
        <v/>
      </c>
      <c r="I36" s="3"/>
      <c r="J36" s="3"/>
      <c r="K36" s="3"/>
      <c r="L36" s="3"/>
      <c r="M36" s="3"/>
      <c r="N36" s="3"/>
      <c r="O36" s="3"/>
      <c r="P36" s="3"/>
      <c r="Q36" s="3"/>
      <c r="R36" s="3"/>
      <c r="S36" s="3"/>
      <c r="T36" s="3"/>
      <c r="U36" s="688"/>
      <c r="V36" s="688"/>
      <c r="W36" s="688"/>
      <c r="X36" s="3"/>
      <c r="Y36" s="3"/>
      <c r="Z36" s="3"/>
      <c r="AA36" s="3"/>
      <c r="AB36" s="3"/>
      <c r="AC36" s="3"/>
      <c r="AD36" s="3"/>
    </row>
    <row r="37" spans="1:30">
      <c r="A37" s="60"/>
      <c r="B37" s="3"/>
      <c r="C37" s="3"/>
      <c r="D37" s="707" t="str">
        <f>'Analyser og resultater'!$A$38</f>
        <v>Prøve / boring:</v>
      </c>
      <c r="E37" s="708"/>
      <c r="F37" s="113" t="str">
        <f>IF('Analyser og resultater'!$B$38="","",'Analyser og resultater'!$B$38)</f>
        <v/>
      </c>
      <c r="G37" s="114" t="str">
        <f>'Analyser og resultater'!$C$38</f>
        <v>Dybde:</v>
      </c>
      <c r="H37" s="115" t="str">
        <f>IF('Analyser og resultater'!$D$38="","",'Analyser og resultater'!$D$38)</f>
        <v/>
      </c>
      <c r="I37" s="3"/>
      <c r="J37" s="3"/>
      <c r="K37" s="3"/>
      <c r="L37" s="3"/>
      <c r="M37" s="3"/>
      <c r="N37" s="3"/>
      <c r="O37" s="3"/>
      <c r="P37" s="3"/>
      <c r="Q37" s="3"/>
      <c r="R37" s="3"/>
      <c r="S37" s="3"/>
      <c r="T37" s="3"/>
      <c r="U37" s="688"/>
      <c r="V37" s="688"/>
      <c r="W37" s="688"/>
      <c r="X37" s="3"/>
      <c r="Y37" s="3"/>
      <c r="Z37" s="3"/>
      <c r="AA37" s="3"/>
      <c r="AB37" s="3"/>
      <c r="AC37" s="3"/>
      <c r="AD37" s="3"/>
    </row>
    <row r="38" spans="1:30">
      <c r="A38" s="60"/>
      <c r="B38" s="3"/>
      <c r="C38" s="3"/>
      <c r="D38" s="707" t="str">
        <f>'Analyser og resultater'!$A$39</f>
        <v>Firma:</v>
      </c>
      <c r="E38" s="708"/>
      <c r="F38" s="113" t="str">
        <f>IF('Analyser og resultater'!$B$39="","",'Analyser og resultater'!$B$39)</f>
        <v/>
      </c>
      <c r="G38" s="114" t="str">
        <f>'Analyser og resultater'!$C$39</f>
        <v>Udført af:</v>
      </c>
      <c r="H38" s="115" t="str">
        <f>IF('Analyser og resultater'!$D$39="","",'Analyser og resultater'!$D$39)</f>
        <v/>
      </c>
      <c r="I38" s="3"/>
      <c r="J38" s="3"/>
      <c r="K38" s="3"/>
      <c r="L38" s="3"/>
      <c r="M38" s="3"/>
      <c r="N38" s="3"/>
      <c r="O38" s="3"/>
      <c r="P38" s="3"/>
      <c r="Q38" s="3"/>
      <c r="R38" s="3"/>
      <c r="S38" s="3"/>
      <c r="T38" s="3"/>
      <c r="U38" s="688"/>
      <c r="V38" s="688"/>
      <c r="W38" s="688"/>
      <c r="X38" s="3"/>
      <c r="Y38" s="3"/>
      <c r="Z38" s="3"/>
      <c r="AA38" s="3"/>
      <c r="AB38" s="3"/>
      <c r="AC38" s="3"/>
      <c r="AD38" s="3"/>
    </row>
    <row r="39" spans="1:30">
      <c r="A39" s="60"/>
      <c r="B39" s="3"/>
      <c r="C39" s="3"/>
      <c r="D39" s="709" t="str">
        <f>'Analyser og resultater'!$A$40</f>
        <v>Dato:</v>
      </c>
      <c r="E39" s="710"/>
      <c r="F39" s="678">
        <f ca="1">IF('Analyser og resultater'!$B$40="","",'Analyser og resultater'!$B$40)</f>
        <v>45943.37626759259</v>
      </c>
      <c r="G39" s="679"/>
      <c r="H39" s="680"/>
      <c r="I39" s="3"/>
      <c r="J39" s="3"/>
      <c r="K39" s="3"/>
      <c r="L39" s="3"/>
      <c r="M39" s="3"/>
      <c r="N39" s="3"/>
      <c r="O39" s="3"/>
      <c r="P39" s="3"/>
      <c r="Q39" s="3"/>
      <c r="R39" s="3"/>
      <c r="S39" s="3"/>
      <c r="T39" s="3"/>
      <c r="U39" s="3"/>
      <c r="V39" s="3"/>
      <c r="W39" s="3"/>
      <c r="X39" s="3"/>
      <c r="Y39" s="3"/>
      <c r="Z39" s="3"/>
      <c r="AA39" s="3"/>
      <c r="AB39" s="3"/>
      <c r="AC39" s="3"/>
      <c r="AD39" s="3"/>
    </row>
    <row r="40" spans="1:30">
      <c r="A40" s="60"/>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23" t="str">
        <f>Intro!A33</f>
        <v>PFASen (Ver. 2.4) - 2025-10-09</v>
      </c>
      <c r="AD40" s="3"/>
    </row>
    <row r="41" spans="1:30">
      <c r="E41" s="647"/>
      <c r="F41" s="647"/>
      <c r="G41" s="647"/>
      <c r="H41" s="647"/>
      <c r="I41" s="647"/>
      <c r="J41" s="647"/>
      <c r="K41" s="647"/>
      <c r="L41" s="647"/>
      <c r="M41" s="647"/>
      <c r="N41" s="647"/>
      <c r="O41" s="647"/>
      <c r="P41" s="647"/>
      <c r="Q41" s="647"/>
      <c r="R41" s="647"/>
      <c r="S41" s="647"/>
      <c r="T41" s="647"/>
      <c r="U41" s="647"/>
      <c r="V41" s="647"/>
      <c r="W41" s="647"/>
      <c r="X41" s="647"/>
      <c r="Y41" s="647"/>
      <c r="Z41" s="647"/>
      <c r="AA41" s="647"/>
    </row>
    <row r="43" spans="1:30">
      <c r="E43" s="647"/>
      <c r="F43" s="648"/>
      <c r="G43" s="647"/>
      <c r="H43" s="647"/>
      <c r="I43" s="647"/>
      <c r="J43" s="647"/>
      <c r="K43" s="647"/>
      <c r="L43" s="647"/>
      <c r="M43" s="647"/>
      <c r="N43" s="647"/>
      <c r="O43" s="647"/>
      <c r="P43" s="647"/>
      <c r="Q43" s="647"/>
      <c r="R43" s="647"/>
      <c r="S43" s="647"/>
      <c r="T43" s="647"/>
      <c r="U43" s="647"/>
      <c r="V43" s="647"/>
      <c r="W43" s="647"/>
      <c r="X43" s="647"/>
      <c r="Y43" s="647"/>
      <c r="Z43" s="647"/>
      <c r="AA43" s="647"/>
    </row>
    <row r="44" spans="1:30">
      <c r="E44" s="647"/>
      <c r="F44" s="647"/>
      <c r="G44" s="647"/>
      <c r="H44" s="647"/>
      <c r="I44" s="647"/>
      <c r="J44" s="647"/>
      <c r="K44" s="647"/>
      <c r="L44" s="647"/>
      <c r="M44" s="647"/>
      <c r="N44" s="647"/>
      <c r="O44" s="647"/>
      <c r="P44" s="647"/>
      <c r="Q44" s="647"/>
      <c r="R44" s="647"/>
      <c r="S44" s="647"/>
      <c r="T44" s="647"/>
      <c r="U44" s="647"/>
      <c r="V44" s="647"/>
      <c r="W44" s="647"/>
      <c r="X44" s="647"/>
      <c r="Y44" s="647"/>
      <c r="Z44" s="647"/>
      <c r="AA44" s="647"/>
    </row>
    <row r="45" spans="1:30">
      <c r="E45" s="647"/>
      <c r="F45" s="647"/>
      <c r="G45" s="647"/>
      <c r="H45" s="647"/>
      <c r="I45" s="647"/>
      <c r="J45" s="647"/>
      <c r="K45" s="647"/>
      <c r="L45" s="647"/>
      <c r="M45" s="647"/>
      <c r="N45" s="647"/>
      <c r="O45" s="647"/>
      <c r="P45" s="647"/>
      <c r="Q45" s="647"/>
      <c r="R45" s="647"/>
      <c r="S45" s="647"/>
      <c r="T45" s="647"/>
      <c r="U45" s="647"/>
      <c r="V45" s="647"/>
      <c r="W45" s="647"/>
      <c r="X45" s="647"/>
      <c r="Y45" s="647"/>
      <c r="Z45" s="647"/>
      <c r="AA45" s="647"/>
    </row>
    <row r="79" spans="5:27">
      <c r="F79" s="650" t="s">
        <v>10</v>
      </c>
      <c r="G79" s="651" t="s">
        <v>28</v>
      </c>
      <c r="H79" s="651" t="s">
        <v>11</v>
      </c>
      <c r="I79" s="651" t="s">
        <v>12</v>
      </c>
      <c r="J79" s="651" t="s">
        <v>33</v>
      </c>
      <c r="K79" s="651" t="s">
        <v>14</v>
      </c>
      <c r="L79" s="652" t="s">
        <v>13</v>
      </c>
      <c r="M79" s="651" t="s">
        <v>61</v>
      </c>
      <c r="N79" s="652" t="s">
        <v>7</v>
      </c>
      <c r="O79" s="651" t="s">
        <v>31</v>
      </c>
      <c r="P79" s="651" t="s">
        <v>30</v>
      </c>
      <c r="Q79" s="652" t="s">
        <v>15</v>
      </c>
      <c r="R79" s="652" t="s">
        <v>0</v>
      </c>
      <c r="S79" s="651" t="s">
        <v>34</v>
      </c>
      <c r="T79" s="651" t="s">
        <v>27</v>
      </c>
      <c r="U79" s="651" t="s">
        <v>29</v>
      </c>
      <c r="V79" s="651" t="s">
        <v>32</v>
      </c>
      <c r="W79" s="651" t="s">
        <v>35</v>
      </c>
      <c r="X79" s="651" t="s">
        <v>37</v>
      </c>
      <c r="Y79" s="651" t="s">
        <v>38</v>
      </c>
      <c r="Z79" s="651" t="s">
        <v>36</v>
      </c>
      <c r="AA79" s="653" t="s">
        <v>39</v>
      </c>
    </row>
    <row r="80" spans="5:27">
      <c r="E80" s="649" t="s">
        <v>311</v>
      </c>
      <c r="F80" s="654" t="e">
        <f>1+Jordtype!$J$7/Jordtype!$E$13*Følsomhedsanalyse!F16+Følsomhedsanalyse!F15*Jordtype!$E$17/Jordtype!$E$13</f>
        <v>#N/A</v>
      </c>
      <c r="G80" s="655" t="e">
        <f>1+Jordtype!$J$7/Jordtype!$E$13*Følsomhedsanalyse!G16+Følsomhedsanalyse!G15*Jordtype!$E$17/Jordtype!$E$13</f>
        <v>#N/A</v>
      </c>
      <c r="H80" s="655" t="e">
        <f>1+Jordtype!$J$7/Jordtype!$E$13*Følsomhedsanalyse!H16+Følsomhedsanalyse!H15*Jordtype!$E$17/Jordtype!$E$13</f>
        <v>#N/A</v>
      </c>
      <c r="I80" s="655" t="e">
        <f>1+Jordtype!$J$7/Jordtype!$E$13*Følsomhedsanalyse!I16+Følsomhedsanalyse!I15*Jordtype!$E$17/Jordtype!$E$13</f>
        <v>#N/A</v>
      </c>
      <c r="J80" s="655" t="e">
        <f>1+Jordtype!$J$7/Jordtype!$E$13*Følsomhedsanalyse!J16+Følsomhedsanalyse!J15*Jordtype!$E$17/Jordtype!$E$13</f>
        <v>#N/A</v>
      </c>
      <c r="K80" s="655" t="e">
        <f>1+Jordtype!$J$7/Jordtype!$E$13*Følsomhedsanalyse!K16+Følsomhedsanalyse!K15*Jordtype!$E$17/Jordtype!$E$13</f>
        <v>#N/A</v>
      </c>
      <c r="L80" s="655" t="e">
        <f>1+Jordtype!$J$7/Jordtype!$E$13*Følsomhedsanalyse!L16+Følsomhedsanalyse!L15*Jordtype!$E$17/Jordtype!$E$13</f>
        <v>#N/A</v>
      </c>
      <c r="M80" s="655" t="e">
        <f>1+Jordtype!$J$7/Jordtype!$E$13*Følsomhedsanalyse!M16+Følsomhedsanalyse!M15*Jordtype!$E$17/Jordtype!$E$13</f>
        <v>#N/A</v>
      </c>
      <c r="N80" s="655" t="e">
        <f>1+Jordtype!$J$7/Jordtype!$E$13*Følsomhedsanalyse!N16+Følsomhedsanalyse!N15*Jordtype!$E$17/Jordtype!$E$13</f>
        <v>#N/A</v>
      </c>
      <c r="O80" s="655" t="e">
        <f>1+Jordtype!$J$7/Jordtype!$E$13*Følsomhedsanalyse!O16+Følsomhedsanalyse!O15*Jordtype!$E$17/Jordtype!$E$13</f>
        <v>#N/A</v>
      </c>
      <c r="P80" s="655" t="e">
        <f>1+Jordtype!$J$7/Jordtype!$E$13*Følsomhedsanalyse!P16+Følsomhedsanalyse!P15*Jordtype!$E$17/Jordtype!$E$13</f>
        <v>#N/A</v>
      </c>
      <c r="Q80" s="655" t="e">
        <f>1+Jordtype!$J$7/Jordtype!$E$13*Følsomhedsanalyse!Q16+Følsomhedsanalyse!Q15*Jordtype!$E$17/Jordtype!$E$13</f>
        <v>#N/A</v>
      </c>
      <c r="R80" s="655" t="e">
        <f>1+Jordtype!$J$7/Jordtype!$E$13*Følsomhedsanalyse!R16+Følsomhedsanalyse!R15*Jordtype!$E$17/Jordtype!$E$13</f>
        <v>#N/A</v>
      </c>
      <c r="S80" s="655" t="e">
        <f>1+Jordtype!$J$7/Jordtype!$E$13*Følsomhedsanalyse!S16+Følsomhedsanalyse!S15*Jordtype!$E$17/Jordtype!$E$13</f>
        <v>#N/A</v>
      </c>
      <c r="T80" s="655" t="e">
        <f>1+Jordtype!$J$7/Jordtype!$E$13*Følsomhedsanalyse!T16+Følsomhedsanalyse!T15*Jordtype!$E$17/Jordtype!$E$13</f>
        <v>#N/A</v>
      </c>
      <c r="U80" s="655" t="e">
        <f>1+Jordtype!$J$7/Jordtype!$E$13*Følsomhedsanalyse!U16+Følsomhedsanalyse!U15*Jordtype!$E$17/Jordtype!$E$13</f>
        <v>#N/A</v>
      </c>
      <c r="V80" s="655" t="e">
        <f>1+Jordtype!$J$7/Jordtype!$E$13*Følsomhedsanalyse!V16+Følsomhedsanalyse!V15*Jordtype!$E$17/Jordtype!$E$13</f>
        <v>#N/A</v>
      </c>
      <c r="W80" s="655" t="e">
        <f>1+Jordtype!$J$7/Jordtype!$E$13*Følsomhedsanalyse!W16+Følsomhedsanalyse!W15*Jordtype!$E$17/Jordtype!$E$13</f>
        <v>#N/A</v>
      </c>
      <c r="X80" s="655" t="e">
        <f>1+Jordtype!$J$7/Jordtype!$E$13*Følsomhedsanalyse!X16+Følsomhedsanalyse!X15*Jordtype!$E$17/Jordtype!$E$13</f>
        <v>#N/A</v>
      </c>
      <c r="Y80" s="655" t="e">
        <f>1+Jordtype!$J$7/Jordtype!$E$13*Følsomhedsanalyse!Y16+Følsomhedsanalyse!Y15*Jordtype!$E$17/Jordtype!$E$13</f>
        <v>#N/A</v>
      </c>
      <c r="Z80" s="655" t="e">
        <f>1+Jordtype!$J$7/Jordtype!$E$13*Følsomhedsanalyse!Z16+Følsomhedsanalyse!Z15*Jordtype!$E$17/Jordtype!$E$13</f>
        <v>#N/A</v>
      </c>
      <c r="AA80" s="656" t="e">
        <f>1+Jordtype!$J$7/Jordtype!$E$13*Følsomhedsanalyse!AA16+Følsomhedsanalyse!AA15*Jordtype!$E$17/Jordtype!$E$13</f>
        <v>#N/A</v>
      </c>
    </row>
  </sheetData>
  <sheetProtection algorithmName="SHA-512" hashValue="sV5c30Y2J5+Ao+yg2TTm81fuNreZo1apkBYeiDaZv41Xca3SYG1T/7ZWHLw+0GYl+ZCoBcXNgwHNxO5oULIHGA==" saltValue="6GeBpNu0DPna+yrmoA5Tgw==" spinCount="100000" sheet="1" objects="1" scenarios="1" selectLockedCells="1"/>
  <mergeCells count="21">
    <mergeCell ref="D10:E10"/>
    <mergeCell ref="D14:E14"/>
    <mergeCell ref="C8:D8"/>
    <mergeCell ref="E8:G8"/>
    <mergeCell ref="B4:D4"/>
    <mergeCell ref="B5:D5"/>
    <mergeCell ref="D11:E11"/>
    <mergeCell ref="D13:E13"/>
    <mergeCell ref="D15:E15"/>
    <mergeCell ref="D16:E16"/>
    <mergeCell ref="C20:C23"/>
    <mergeCell ref="U35:W38"/>
    <mergeCell ref="F35:H35"/>
    <mergeCell ref="F39:H39"/>
    <mergeCell ref="C25:C28"/>
    <mergeCell ref="C30:C33"/>
    <mergeCell ref="D38:E38"/>
    <mergeCell ref="D39:E39"/>
    <mergeCell ref="D37:E37"/>
    <mergeCell ref="D36:E36"/>
    <mergeCell ref="D35:E35"/>
  </mergeCells>
  <conditionalFormatting sqref="C10">
    <cfRule type="cellIs" dxfId="51" priority="94" operator="equal">
      <formula>"Nej"</formula>
    </cfRule>
    <cfRule type="cellIs" dxfId="50" priority="93" operator="equal">
      <formula>"Lav"</formula>
    </cfRule>
    <cfRule type="cellIs" dxfId="49" priority="92" operator="equal">
      <formula>"Høj"</formula>
    </cfRule>
  </conditionalFormatting>
  <conditionalFormatting sqref="C13">
    <cfRule type="cellIs" dxfId="48" priority="90" operator="equal">
      <formula>"Lav"</formula>
    </cfRule>
    <cfRule type="cellIs" dxfId="47" priority="89" operator="equal">
      <formula>"Høj"</formula>
    </cfRule>
    <cfRule type="containsText" dxfId="46" priority="88" operator="containsText" text="Ikke aktiveret endnu">
      <formula>NOT(ISERROR(SEARCH("Ikke aktiveret endnu",C13)))</formula>
    </cfRule>
    <cfRule type="cellIs" dxfId="45" priority="91" operator="equal">
      <formula>"Nej"</formula>
    </cfRule>
  </conditionalFormatting>
  <conditionalFormatting sqref="E8:G8">
    <cfRule type="expression" dxfId="44" priority="87">
      <formula>$H$8&lt;7</formula>
    </cfRule>
    <cfRule type="expression" dxfId="43" priority="86">
      <formula>$H$8&gt;6</formula>
    </cfRule>
  </conditionalFormatting>
  <conditionalFormatting sqref="F4:AC5">
    <cfRule type="containsText" dxfId="2" priority="25" operator="containsText" text="&lt;">
      <formula>NOT(ISERROR(SEARCH("&lt;",F4)))</formula>
    </cfRule>
  </conditionalFormatting>
  <conditionalFormatting sqref="U35:W38">
    <cfRule type="containsText" dxfId="1" priority="21" stopIfTrue="1" operator="containsText" text="hvis">
      <formula>NOT(ISERROR(SEARCH("hvis",U35)))</formula>
    </cfRule>
    <cfRule type="cellIs" dxfId="0" priority="24" operator="notEqual">
      <formula>""</formula>
    </cfRule>
  </conditionalFormatting>
  <dataValidations count="1">
    <dataValidation type="list" allowBlank="1" showInputMessage="1" showErrorMessage="1" sqref="C10" xr:uid="{D8D50395-D9E0-4A7A-A3D6-C7A43B0D1E83}">
      <formula1>FølsomhedsanalyseKia</formula1>
    </dataValidation>
  </dataValidations>
  <pageMargins left="0.7" right="0.7" top="0.75" bottom="0.75" header="0.3" footer="0.3"/>
  <pageSetup paperSize="8" scale="68" orientation="landscape"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2" stopIfTrue="1" id="{3B55038B-DA39-47E2-BFDA-C924D670C38F}">
            <xm:f>AND('Analyser og resultater'!$N$35=3,F17&gt;=0.001)</xm:f>
            <x14:dxf>
              <numFmt numFmtId="175" formatCode="#,##0.00000"/>
            </x14:dxf>
          </x14:cfRule>
          <x14:cfRule type="expression" priority="73" stopIfTrue="1" id="{B68BD64B-B0C7-4A8E-A2C0-AB71FD311808}">
            <xm:f>AND('Analyser og resultater'!$N$35=3,F17&gt;=0.0001)</xm:f>
            <x14:dxf>
              <numFmt numFmtId="174" formatCode="#,##0.000000"/>
            </x14:dxf>
          </x14:cfRule>
          <x14:cfRule type="expression" priority="74" stopIfTrue="1" id="{6ECDB68F-1D78-4207-9B96-605462FE34A4}">
            <xm:f>AND('Analyser og resultater'!$N$35=3,F17&gt;=0.00001)</xm:f>
            <x14:dxf>
              <numFmt numFmtId="173" formatCode="#,##0.0000000"/>
            </x14:dxf>
          </x14:cfRule>
          <x14:cfRule type="expression" priority="76" stopIfTrue="1" id="{E8EFE222-0A33-49B5-84E9-2198B023B5A5}">
            <xm:f>AND('Analyser og resultater'!$N$35=2,F17&gt;=10000000)</xm:f>
            <x14:dxf>
              <numFmt numFmtId="15" formatCode="0.00E+00"/>
            </x14:dxf>
          </x14:cfRule>
          <x14:cfRule type="expression" priority="77" stopIfTrue="1" id="{687A4406-71D2-4BCE-B39B-E562A272C463}">
            <xm:f>AND('Analyser og resultater'!$N$35=2,F17&gt;=10)</xm:f>
            <x14:dxf>
              <numFmt numFmtId="3" formatCode="#,##0"/>
            </x14:dxf>
          </x14:cfRule>
          <x14:cfRule type="expression" priority="78" stopIfTrue="1" id="{A2F6CBB4-9EB9-41F1-9AB3-FB34176A46CC}">
            <xm:f>AND('Analyser og resultater'!$N$35=2,F17&gt;=1)</xm:f>
            <x14:dxf>
              <numFmt numFmtId="177" formatCode="#,##0.0"/>
            </x14:dxf>
          </x14:cfRule>
          <x14:cfRule type="expression" priority="79" stopIfTrue="1" id="{D0BC554B-BAC7-48D9-91B0-3934F9C1E3D0}">
            <xm:f>AND('Analyser og resultater'!$N$35=2,F17&gt;=0.1)</xm:f>
            <x14:dxf>
              <numFmt numFmtId="4" formatCode="#,##0.00"/>
            </x14:dxf>
          </x14:cfRule>
          <x14:cfRule type="expression" priority="80" stopIfTrue="1" id="{F6B31C66-2F90-4F4D-B73A-B1FAD508AD87}">
            <xm:f>AND('Analyser og resultater'!$N$35=2,F17&gt;=0.01)</xm:f>
            <x14:dxf>
              <numFmt numFmtId="170" formatCode="#,##0.000"/>
            </x14:dxf>
          </x14:cfRule>
          <x14:cfRule type="expression" priority="81" stopIfTrue="1" id="{3099929D-D6F0-40C2-9AA1-728E12A2BEA5}">
            <xm:f>AND('Analyser og resultater'!$N$35=2,F17&gt;=0.001)</xm:f>
            <x14:dxf>
              <numFmt numFmtId="176" formatCode="#,##0.0000"/>
            </x14:dxf>
          </x14:cfRule>
          <x14:cfRule type="expression" priority="83" stopIfTrue="1" id="{458BBAE3-D60C-470A-B431-F842A68DA20B}">
            <xm:f>AND('Analyser og resultater'!$N$35=2,F17&gt;=0.00001)</xm:f>
            <x14:dxf>
              <numFmt numFmtId="174" formatCode="#,##0.000000"/>
            </x14:dxf>
          </x14:cfRule>
          <x14:cfRule type="expression" priority="84" stopIfTrue="1" id="{E41D5F25-8767-4957-9712-F32A501986B4}">
            <xm:f>AND('Analyser og resultater'!$N$35=2,F17&gt;=0.000001)</xm:f>
            <x14:dxf>
              <numFmt numFmtId="173" formatCode="#,##0.0000000"/>
            </x14:dxf>
          </x14:cfRule>
          <x14:cfRule type="expression" priority="85" stopIfTrue="1" id="{C3C044CD-DD7E-4287-AC15-5843B6D4C5DE}">
            <xm:f>AND('Analyser og resultater'!$N$35=2,F17&gt;=0.000001)</xm:f>
            <x14:dxf>
              <numFmt numFmtId="15" formatCode="0.00E+00"/>
            </x14:dxf>
          </x14:cfRule>
          <x14:cfRule type="expression" priority="82" stopIfTrue="1" id="{42906A9D-D9D7-4E82-8FF5-ED24E43D9AF4}">
            <xm:f>AND('Analyser og resultater'!$N$35=2,F17&gt;=0.0001)</xm:f>
            <x14:dxf>
              <numFmt numFmtId="175" formatCode="#,##0.00000"/>
            </x14:dxf>
          </x14:cfRule>
          <x14:cfRule type="expression" priority="69" stopIfTrue="1" id="{98456844-ADC9-4DFB-87B1-1681CE9BD52D}">
            <xm:f>AND('Analyser og resultater'!$N$35=3,F17&gt;=1)</xm:f>
            <x14:dxf>
              <numFmt numFmtId="4" formatCode="#,##0.00"/>
            </x14:dxf>
          </x14:cfRule>
          <x14:cfRule type="expression" priority="66" stopIfTrue="1" id="{383C93A5-D8D6-4CDE-9F22-8BDD0540D022}">
            <xm:f>AND('Analyser og resultater'!$N$35=3,F17&gt;=10000000)</xm:f>
            <x14:dxf>
              <numFmt numFmtId="15" formatCode="0.00E+00"/>
            </x14:dxf>
          </x14:cfRule>
          <x14:cfRule type="expression" priority="67" stopIfTrue="1" id="{80BD779F-0A7E-4904-BE34-9403F5D8A549}">
            <xm:f>AND('Analyser og resultater'!$N$35=3,F17&gt;=100)</xm:f>
            <x14:dxf>
              <numFmt numFmtId="3" formatCode="#,##0"/>
            </x14:dxf>
          </x14:cfRule>
          <x14:cfRule type="expression" priority="68" stopIfTrue="1" id="{0FF3AC2F-3893-43A4-8C6E-D57DE29DD643}">
            <xm:f>AND('Analyser og resultater'!$N$35=3,F17&gt;=10)</xm:f>
            <x14:dxf>
              <numFmt numFmtId="177" formatCode="#,##0.0"/>
            </x14:dxf>
          </x14:cfRule>
          <x14:cfRule type="expression" priority="75" stopIfTrue="1" id="{EB9C462D-2804-41FA-BD4F-9D09A6BFB6CA}">
            <xm:f>AND('Analyser og resultater'!$N$35=3,F17&gt;=0.000001)</xm:f>
            <x14:dxf>
              <numFmt numFmtId="15" formatCode="0.00E+00"/>
            </x14:dxf>
          </x14:cfRule>
          <x14:cfRule type="expression" priority="70" stopIfTrue="1" id="{34A220BF-DA29-421A-8B82-C612081C6E5D}">
            <xm:f>AND('Analyser og resultater'!$N$35=3,F17&gt;=0.1)</xm:f>
            <x14:dxf>
              <numFmt numFmtId="170" formatCode="#,##0.000"/>
            </x14:dxf>
          </x14:cfRule>
          <x14:cfRule type="expression" priority="71" stopIfTrue="1" id="{0733BF7E-57D5-4ACA-B9F8-5CC2E323A3FC}">
            <xm:f>AND('Analyser og resultater'!$N$35=3,F17&gt;=0.01)</xm:f>
            <x14:dxf>
              <numFmt numFmtId="176" formatCode="#,##0.0000"/>
            </x14:dxf>
          </x14:cfRule>
          <xm:sqref>F17:AA17</xm:sqref>
        </x14:conditionalFormatting>
        <x14:conditionalFormatting xmlns:xm="http://schemas.microsoft.com/office/excel/2006/main">
          <x14:cfRule type="expression" priority="1" stopIfTrue="1" id="{BF5F9A24-3FCA-4FD3-B612-F8DDA6BC5510}">
            <xm:f>AND('Analyser og resultater'!$N$35=3,F80&gt;=10000000)</xm:f>
            <x14:dxf>
              <numFmt numFmtId="15" formatCode="0.00E+00"/>
            </x14:dxf>
          </x14:cfRule>
          <x14:cfRule type="expression" priority="2" stopIfTrue="1" id="{9ADF231B-315E-44D5-8DBF-D5768E52D207}">
            <xm:f>AND('Analyser og resultater'!$N$35=3,F80&gt;=100)</xm:f>
            <x14:dxf>
              <numFmt numFmtId="3" formatCode="#,##0"/>
            </x14:dxf>
          </x14:cfRule>
          <x14:cfRule type="expression" priority="3" stopIfTrue="1" id="{F1192474-DCFF-447C-90CE-F7BE65DB8B71}">
            <xm:f>AND('Analyser og resultater'!$N$35=3,F80&gt;=10)</xm:f>
            <x14:dxf>
              <numFmt numFmtId="177" formatCode="#,##0.0"/>
            </x14:dxf>
          </x14:cfRule>
          <x14:cfRule type="expression" priority="4" stopIfTrue="1" id="{E79E6209-236B-4767-AF38-97F39D2A01F8}">
            <xm:f>AND('Analyser og resultater'!$N$35=3,F80&gt;=1)</xm:f>
            <x14:dxf>
              <numFmt numFmtId="4" formatCode="#,##0.00"/>
            </x14:dxf>
          </x14:cfRule>
          <x14:cfRule type="expression" priority="5" stopIfTrue="1" id="{D9320FE5-FF33-4BE4-8C32-3E4DE7D9604F}">
            <xm:f>AND('Analyser og resultater'!$N$35=3,F80&gt;=0.1)</xm:f>
            <x14:dxf>
              <numFmt numFmtId="170" formatCode="#,##0.000"/>
            </x14:dxf>
          </x14:cfRule>
          <x14:cfRule type="expression" priority="6" stopIfTrue="1" id="{1BAAE82B-7678-4631-AAAA-0E4F26C68450}">
            <xm:f>AND('Analyser og resultater'!$N$35=3,F80&gt;=0.01)</xm:f>
            <x14:dxf>
              <numFmt numFmtId="176" formatCode="#,##0.0000"/>
            </x14:dxf>
          </x14:cfRule>
          <x14:cfRule type="expression" priority="8" stopIfTrue="1" id="{6CD7E4B8-1368-4725-9830-40E551E6563A}">
            <xm:f>AND('Analyser og resultater'!$N$35=3,F80&gt;=0.0001)</xm:f>
            <x14:dxf>
              <numFmt numFmtId="174" formatCode="#,##0.000000"/>
            </x14:dxf>
          </x14:cfRule>
          <x14:cfRule type="expression" priority="9" stopIfTrue="1" id="{7D3A70C5-0395-41C9-90E3-F86498D32CAD}">
            <xm:f>AND('Analyser og resultater'!$N$35=3,F80&gt;=0.00001)</xm:f>
            <x14:dxf>
              <numFmt numFmtId="173" formatCode="#,##0.0000000"/>
            </x14:dxf>
          </x14:cfRule>
          <x14:cfRule type="expression" priority="10" stopIfTrue="1" id="{1B45BE61-3701-4AB8-99C9-5E726F5C412C}">
            <xm:f>AND('Analyser og resultater'!$N$35=3,F80&gt;=0.000001)</xm:f>
            <x14:dxf>
              <numFmt numFmtId="15" formatCode="0.00E+00"/>
            </x14:dxf>
          </x14:cfRule>
          <x14:cfRule type="expression" priority="11" stopIfTrue="1" id="{4FFAC921-2BE1-4C42-9C87-D610B2215223}">
            <xm:f>AND('Analyser og resultater'!$N$35=2,F80&gt;=10000000)</xm:f>
            <x14:dxf>
              <numFmt numFmtId="15" formatCode="0.00E+00"/>
            </x14:dxf>
          </x14:cfRule>
          <x14:cfRule type="expression" priority="12" stopIfTrue="1" id="{88F91E7C-63E3-4A4D-9F1E-2B56C7718243}">
            <xm:f>AND('Analyser og resultater'!$N$35=2,F80&gt;=10)</xm:f>
            <x14:dxf>
              <numFmt numFmtId="3" formatCode="#,##0"/>
            </x14:dxf>
          </x14:cfRule>
          <x14:cfRule type="expression" priority="13" stopIfTrue="1" id="{47A8550D-C3DC-42ED-8CE3-773A083B62CB}">
            <xm:f>AND('Analyser og resultater'!$N$35=2,F80&gt;=1)</xm:f>
            <x14:dxf>
              <numFmt numFmtId="177" formatCode="#,##0.0"/>
            </x14:dxf>
          </x14:cfRule>
          <x14:cfRule type="expression" priority="14" stopIfTrue="1" id="{E6ADD041-E084-4E51-9BF6-304941BF8262}">
            <xm:f>AND('Analyser og resultater'!$N$35=2,F80&gt;=0.1)</xm:f>
            <x14:dxf>
              <numFmt numFmtId="4" formatCode="#,##0.00"/>
            </x14:dxf>
          </x14:cfRule>
          <x14:cfRule type="expression" priority="20" stopIfTrue="1" id="{D061AE17-5CEA-40DA-80DA-BFD49D8A3B26}">
            <xm:f>AND('Analyser og resultater'!$N$35=2,F80&gt;=0.000001)</xm:f>
            <x14:dxf>
              <numFmt numFmtId="15" formatCode="0.00E+00"/>
            </x14:dxf>
          </x14:cfRule>
          <x14:cfRule type="expression" priority="7" stopIfTrue="1" id="{79CA8678-8B71-4DDD-92F8-9A1BC4119FC5}">
            <xm:f>AND('Analyser og resultater'!$N$35=3,F80&gt;=0.001)</xm:f>
            <x14:dxf>
              <numFmt numFmtId="175" formatCode="#,##0.00000"/>
            </x14:dxf>
          </x14:cfRule>
          <x14:cfRule type="expression" priority="19" stopIfTrue="1" id="{379B716C-D9AD-42AE-B92C-618B45B94F33}">
            <xm:f>AND('Analyser og resultater'!$N$35=2,F80&gt;=0.000001)</xm:f>
            <x14:dxf>
              <numFmt numFmtId="173" formatCode="#,##0.0000000"/>
            </x14:dxf>
          </x14:cfRule>
          <x14:cfRule type="expression" priority="18" stopIfTrue="1" id="{A996C382-64D1-4DBB-A7DA-EF883498AC44}">
            <xm:f>AND('Analyser og resultater'!$N$35=2,F80&gt;=0.00001)</xm:f>
            <x14:dxf>
              <numFmt numFmtId="174" formatCode="#,##0.000000"/>
            </x14:dxf>
          </x14:cfRule>
          <x14:cfRule type="expression" priority="17" stopIfTrue="1" id="{BD2A5B3E-8D70-400B-9866-BD0194686CF6}">
            <xm:f>AND('Analyser og resultater'!$N$35=2,F80&gt;=0.0001)</xm:f>
            <x14:dxf>
              <numFmt numFmtId="175" formatCode="#,##0.00000"/>
            </x14:dxf>
          </x14:cfRule>
          <x14:cfRule type="expression" priority="16" stopIfTrue="1" id="{7FBF8715-DE28-4DF8-90C4-3A83D9DD57B5}">
            <xm:f>AND('Analyser og resultater'!$N$35=2,F80&gt;=0.001)</xm:f>
            <x14:dxf>
              <numFmt numFmtId="176" formatCode="#,##0.0000"/>
            </x14:dxf>
          </x14:cfRule>
          <x14:cfRule type="expression" priority="15" stopIfTrue="1" id="{66E2BFF6-2088-4EC6-8EEC-01E13D03714D}">
            <xm:f>AND('Analyser og resultater'!$N$35=2,F80&gt;=0.01)</xm:f>
            <x14:dxf>
              <numFmt numFmtId="170" formatCode="#,##0.000"/>
            </x14:dxf>
          </x14:cfRule>
          <xm:sqref>F80:AA80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952EAB6-4136-47CF-849F-2610E073E8C4}">
          <x14:formula1>
            <xm:f>'Rullelister mm.'!$F$2:$F$4</xm:f>
          </x14:formula1>
          <xm:sqref>C13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1E418-FB0C-48B6-B5A0-B391D910C916}">
  <sheetPr codeName="Ark6">
    <tabColor theme="9" tint="-0.249977111117893"/>
  </sheetPr>
  <dimension ref="A1:I34"/>
  <sheetViews>
    <sheetView zoomScale="110" zoomScaleNormal="110" workbookViewId="0">
      <selection activeCell="B35" sqref="B35"/>
    </sheetView>
  </sheetViews>
  <sheetFormatPr defaultRowHeight="15"/>
  <cols>
    <col min="1" max="1" width="7.7109375" style="98" customWidth="1"/>
    <col min="2" max="2" width="27.28515625" style="98" bestFit="1" customWidth="1"/>
    <col min="3" max="3" width="3.42578125" style="98" customWidth="1"/>
    <col min="4" max="7" width="10.42578125" style="98" customWidth="1"/>
    <col min="8" max="8" width="60.7109375" style="98" customWidth="1"/>
    <col min="9" max="9" width="2.140625" style="98" customWidth="1"/>
    <col min="10" max="10" width="82.28515625" style="98" customWidth="1"/>
    <col min="11" max="16384" width="9.140625" style="98"/>
  </cols>
  <sheetData>
    <row r="1" spans="1:9" ht="18.75">
      <c r="A1" s="2"/>
      <c r="B1" s="2"/>
      <c r="C1" s="2"/>
      <c r="D1" s="725" t="s">
        <v>8</v>
      </c>
      <c r="E1" s="726"/>
      <c r="F1" s="727" t="s">
        <v>214</v>
      </c>
      <c r="G1" s="728"/>
      <c r="H1" s="2"/>
      <c r="I1" s="2"/>
    </row>
    <row r="2" spans="1:9" ht="15" customHeight="1">
      <c r="A2" s="2"/>
      <c r="B2" s="2"/>
      <c r="C2" s="2"/>
      <c r="D2" s="721" t="s">
        <v>239</v>
      </c>
      <c r="E2" s="722"/>
      <c r="F2" s="729" t="s">
        <v>222</v>
      </c>
      <c r="G2" s="730"/>
      <c r="H2" s="2"/>
      <c r="I2" s="2"/>
    </row>
    <row r="3" spans="1:9">
      <c r="A3" s="2"/>
      <c r="B3" s="2"/>
      <c r="C3" s="136" t="s">
        <v>111</v>
      </c>
      <c r="D3" s="723" t="s">
        <v>250</v>
      </c>
      <c r="E3" s="724"/>
      <c r="F3" s="731" t="s">
        <v>268</v>
      </c>
      <c r="G3" s="732"/>
      <c r="H3" s="7" t="s">
        <v>99</v>
      </c>
      <c r="I3" s="2"/>
    </row>
    <row r="4" spans="1:9">
      <c r="A4" s="21" t="s">
        <v>97</v>
      </c>
      <c r="B4" s="19" t="s">
        <v>187</v>
      </c>
      <c r="C4" s="137">
        <v>1</v>
      </c>
      <c r="D4" s="118">
        <v>2.65</v>
      </c>
      <c r="E4" s="118" t="s">
        <v>251</v>
      </c>
      <c r="F4" s="119">
        <v>0.43</v>
      </c>
      <c r="G4" s="119" t="s">
        <v>254</v>
      </c>
      <c r="H4" s="593" t="s">
        <v>380</v>
      </c>
      <c r="I4" s="2"/>
    </row>
    <row r="5" spans="1:9" ht="15" customHeight="1">
      <c r="A5" s="2"/>
      <c r="B5" s="20" t="s">
        <v>102</v>
      </c>
      <c r="C5" s="34">
        <v>2</v>
      </c>
      <c r="D5" s="121">
        <v>2.65</v>
      </c>
      <c r="E5" s="121" t="s">
        <v>252</v>
      </c>
      <c r="F5" s="119">
        <v>0.35</v>
      </c>
      <c r="G5" s="119" t="s">
        <v>255</v>
      </c>
      <c r="H5" s="594" t="s">
        <v>380</v>
      </c>
      <c r="I5" s="2"/>
    </row>
    <row r="6" spans="1:9" ht="15" customHeight="1">
      <c r="A6" s="2"/>
      <c r="B6" s="20" t="s">
        <v>186</v>
      </c>
      <c r="C6" s="34">
        <v>3</v>
      </c>
      <c r="D6" s="121">
        <v>2.65</v>
      </c>
      <c r="E6" s="121" t="s">
        <v>252</v>
      </c>
      <c r="F6" s="119">
        <v>0.35</v>
      </c>
      <c r="G6" s="119" t="s">
        <v>255</v>
      </c>
      <c r="H6" s="594" t="s">
        <v>380</v>
      </c>
      <c r="I6" s="2"/>
    </row>
    <row r="7" spans="1:9" ht="15" customHeight="1">
      <c r="A7" s="2"/>
      <c r="B7" s="20" t="s">
        <v>93</v>
      </c>
      <c r="C7" s="34">
        <v>4</v>
      </c>
      <c r="D7" s="120">
        <v>2.65</v>
      </c>
      <c r="E7" s="120" t="s">
        <v>252</v>
      </c>
      <c r="F7" s="119">
        <v>0.25</v>
      </c>
      <c r="G7" s="119" t="s">
        <v>256</v>
      </c>
      <c r="H7" s="594" t="s">
        <v>380</v>
      </c>
      <c r="I7" s="2"/>
    </row>
    <row r="8" spans="1:9" ht="15" customHeight="1">
      <c r="A8" s="2"/>
      <c r="B8" s="20" t="s">
        <v>94</v>
      </c>
      <c r="C8" s="34">
        <v>5</v>
      </c>
      <c r="D8" s="120">
        <v>2.65</v>
      </c>
      <c r="E8" s="120" t="s">
        <v>252</v>
      </c>
      <c r="F8" s="119">
        <v>0.25</v>
      </c>
      <c r="G8" s="119" t="s">
        <v>256</v>
      </c>
      <c r="H8" s="594" t="s">
        <v>380</v>
      </c>
      <c r="I8" s="2"/>
    </row>
    <row r="9" spans="1:9" ht="15" customHeight="1">
      <c r="A9" s="2"/>
      <c r="B9" s="20" t="s">
        <v>158</v>
      </c>
      <c r="C9" s="34">
        <v>6</v>
      </c>
      <c r="D9" s="120">
        <v>2.65</v>
      </c>
      <c r="E9" s="120" t="s">
        <v>252</v>
      </c>
      <c r="F9" s="119">
        <v>0.33</v>
      </c>
      <c r="G9" s="119" t="s">
        <v>255</v>
      </c>
      <c r="H9" s="594" t="s">
        <v>380</v>
      </c>
      <c r="I9" s="2"/>
    </row>
    <row r="10" spans="1:9">
      <c r="A10" s="2"/>
      <c r="B10" s="18" t="s">
        <v>109</v>
      </c>
      <c r="C10" s="35">
        <v>7</v>
      </c>
      <c r="D10" s="138">
        <v>2.65</v>
      </c>
      <c r="E10" s="138" t="s">
        <v>252</v>
      </c>
      <c r="F10" s="119">
        <v>0.35</v>
      </c>
      <c r="G10" s="122" t="s">
        <v>255</v>
      </c>
      <c r="H10" s="595" t="s">
        <v>380</v>
      </c>
      <c r="I10" s="2"/>
    </row>
    <row r="11" spans="1:9">
      <c r="A11" s="12" t="s">
        <v>98</v>
      </c>
      <c r="B11" s="5" t="s">
        <v>95</v>
      </c>
      <c r="C11" s="28">
        <v>8</v>
      </c>
      <c r="D11" s="123">
        <v>2.65</v>
      </c>
      <c r="E11" s="123" t="s">
        <v>252</v>
      </c>
      <c r="F11" s="217" t="s">
        <v>270</v>
      </c>
      <c r="G11" s="218" t="s">
        <v>256</v>
      </c>
      <c r="H11" s="594" t="s">
        <v>383</v>
      </c>
      <c r="I11" s="2"/>
    </row>
    <row r="12" spans="1:9">
      <c r="A12" s="2"/>
      <c r="B12" s="5" t="s">
        <v>96</v>
      </c>
      <c r="C12" s="28">
        <v>9</v>
      </c>
      <c r="D12" s="124">
        <v>2.65</v>
      </c>
      <c r="E12" s="124" t="s">
        <v>252</v>
      </c>
      <c r="F12" s="221" t="s">
        <v>270</v>
      </c>
      <c r="G12" s="218" t="s">
        <v>256</v>
      </c>
      <c r="H12" s="594" t="s">
        <v>383</v>
      </c>
      <c r="I12" s="2"/>
    </row>
    <row r="13" spans="1:9" ht="15" customHeight="1">
      <c r="A13" s="17"/>
      <c r="B13" s="5" t="s">
        <v>110</v>
      </c>
      <c r="C13" s="28">
        <v>10</v>
      </c>
      <c r="D13" s="124">
        <v>2.65</v>
      </c>
      <c r="E13" s="124" t="s">
        <v>252</v>
      </c>
      <c r="F13" s="221" t="s">
        <v>271</v>
      </c>
      <c r="G13" s="218" t="s">
        <v>255</v>
      </c>
      <c r="H13" s="594" t="s">
        <v>383</v>
      </c>
      <c r="I13" s="2"/>
    </row>
    <row r="14" spans="1:9" ht="15" customHeight="1">
      <c r="A14" s="2"/>
      <c r="B14" s="5" t="s">
        <v>101</v>
      </c>
      <c r="C14" s="28">
        <v>11</v>
      </c>
      <c r="D14" s="124">
        <v>2.65</v>
      </c>
      <c r="E14" s="124" t="s">
        <v>252</v>
      </c>
      <c r="F14" s="221" t="s">
        <v>272</v>
      </c>
      <c r="G14" s="219" t="s">
        <v>255</v>
      </c>
      <c r="H14" s="594" t="s">
        <v>383</v>
      </c>
      <c r="I14" s="2"/>
    </row>
    <row r="15" spans="1:9">
      <c r="A15" s="2"/>
      <c r="B15" s="11" t="s">
        <v>121</v>
      </c>
      <c r="C15" s="29">
        <v>12</v>
      </c>
      <c r="D15" s="135">
        <v>2.7</v>
      </c>
      <c r="E15" s="135" t="s">
        <v>253</v>
      </c>
      <c r="F15" s="222" t="s">
        <v>273</v>
      </c>
      <c r="G15" s="220" t="s">
        <v>257</v>
      </c>
      <c r="H15" s="595" t="s">
        <v>384</v>
      </c>
      <c r="I15" s="2"/>
    </row>
    <row r="16" spans="1:9" ht="9" customHeight="1">
      <c r="A16" s="2"/>
      <c r="B16" s="2"/>
      <c r="C16" s="8"/>
      <c r="D16" s="215"/>
      <c r="E16" s="215"/>
      <c r="F16" s="216"/>
      <c r="G16" s="215"/>
      <c r="H16" s="214"/>
      <c r="I16" s="2"/>
    </row>
    <row r="17" spans="1:9" ht="37.5" customHeight="1">
      <c r="A17" s="2"/>
      <c r="B17" s="719" t="s">
        <v>398</v>
      </c>
      <c r="C17" s="719"/>
      <c r="D17" s="719"/>
      <c r="E17" s="719"/>
      <c r="F17" s="719"/>
      <c r="G17" s="719"/>
      <c r="H17" s="719"/>
      <c r="I17" s="2"/>
    </row>
    <row r="18" spans="1:9" ht="7.5" customHeight="1">
      <c r="A18" s="59"/>
      <c r="B18" s="2"/>
      <c r="C18" s="2"/>
      <c r="D18" s="2"/>
      <c r="E18" s="2"/>
      <c r="F18" s="2"/>
      <c r="G18" s="2"/>
      <c r="H18" s="2"/>
      <c r="I18" s="2"/>
    </row>
    <row r="19" spans="1:9" ht="27" customHeight="1">
      <c r="A19" s="2"/>
      <c r="B19" s="719" t="s">
        <v>258</v>
      </c>
      <c r="C19" s="719"/>
      <c r="D19" s="719"/>
      <c r="E19" s="719"/>
      <c r="F19" s="719"/>
      <c r="G19" s="719"/>
      <c r="H19" s="719"/>
      <c r="I19" s="2"/>
    </row>
    <row r="20" spans="1:9" ht="7.5" customHeight="1">
      <c r="A20" s="2"/>
      <c r="B20" s="2"/>
      <c r="C20" s="2"/>
      <c r="D20" s="2"/>
      <c r="E20" s="2"/>
      <c r="F20" s="2"/>
      <c r="G20" s="2"/>
      <c r="H20" s="2"/>
      <c r="I20" s="2"/>
    </row>
    <row r="21" spans="1:9" ht="41.25" customHeight="1">
      <c r="A21" s="2"/>
      <c r="B21" s="719" t="s">
        <v>259</v>
      </c>
      <c r="C21" s="719"/>
      <c r="D21" s="719"/>
      <c r="E21" s="719"/>
      <c r="F21" s="719"/>
      <c r="G21" s="719"/>
      <c r="H21" s="719"/>
      <c r="I21" s="2"/>
    </row>
    <row r="22" spans="1:9" ht="7.5" customHeight="1">
      <c r="A22" s="2"/>
      <c r="B22" s="2"/>
      <c r="C22" s="37"/>
      <c r="D22" s="2"/>
      <c r="E22" s="2"/>
      <c r="F22" s="2"/>
      <c r="G22" s="2"/>
      <c r="H22" s="2"/>
      <c r="I22" s="2"/>
    </row>
    <row r="23" spans="1:9" ht="27" customHeight="1">
      <c r="A23" s="2"/>
      <c r="B23" s="719" t="s">
        <v>260</v>
      </c>
      <c r="C23" s="719"/>
      <c r="D23" s="719"/>
      <c r="E23" s="719"/>
      <c r="F23" s="719"/>
      <c r="G23" s="719"/>
      <c r="H23" s="719"/>
      <c r="I23" s="2"/>
    </row>
    <row r="24" spans="1:9" ht="7.5" customHeight="1">
      <c r="A24" s="31"/>
      <c r="B24" s="30"/>
      <c r="C24" s="30"/>
      <c r="D24" s="2"/>
      <c r="E24" s="2"/>
      <c r="F24" s="2"/>
      <c r="G24" s="2"/>
      <c r="H24" s="2"/>
      <c r="I24" s="30"/>
    </row>
    <row r="25" spans="1:9" ht="27" customHeight="1">
      <c r="A25" s="27"/>
      <c r="B25" s="719" t="s">
        <v>261</v>
      </c>
      <c r="C25" s="719"/>
      <c r="D25" s="719"/>
      <c r="E25" s="719"/>
      <c r="F25" s="719"/>
      <c r="G25" s="719"/>
      <c r="H25" s="719"/>
      <c r="I25" s="2"/>
    </row>
    <row r="26" spans="1:9" ht="7.5" customHeight="1">
      <c r="A26" s="2"/>
      <c r="B26" s="2"/>
      <c r="C26" s="2"/>
      <c r="D26" s="2"/>
      <c r="E26" s="2"/>
      <c r="F26" s="2"/>
      <c r="G26" s="2"/>
      <c r="H26" s="2"/>
      <c r="I26" s="2"/>
    </row>
    <row r="27" spans="1:9" ht="15" customHeight="1">
      <c r="A27" s="2"/>
      <c r="B27" s="719" t="s">
        <v>269</v>
      </c>
      <c r="C27" s="719"/>
      <c r="D27" s="719"/>
      <c r="E27" s="719"/>
      <c r="F27" s="719"/>
      <c r="G27" s="719"/>
      <c r="H27" s="719"/>
      <c r="I27" s="2"/>
    </row>
    <row r="28" spans="1:9" ht="7.5" customHeight="1">
      <c r="A28" s="2"/>
      <c r="B28" s="2"/>
      <c r="C28" s="2"/>
      <c r="D28" s="2"/>
      <c r="E28" s="2"/>
      <c r="F28" s="2"/>
      <c r="G28" s="2"/>
      <c r="H28" s="2"/>
      <c r="I28" s="2"/>
    </row>
    <row r="29" spans="1:9" ht="39" customHeight="1">
      <c r="A29" s="2"/>
      <c r="B29" s="719" t="s">
        <v>262</v>
      </c>
      <c r="C29" s="719"/>
      <c r="D29" s="719"/>
      <c r="E29" s="719"/>
      <c r="F29" s="719"/>
      <c r="G29" s="719"/>
      <c r="H29" s="719"/>
      <c r="I29" s="2"/>
    </row>
    <row r="30" spans="1:9" ht="7.5" customHeight="1">
      <c r="A30" s="2"/>
      <c r="B30" s="2"/>
      <c r="C30" s="2"/>
      <c r="D30" s="2"/>
      <c r="E30" s="2"/>
      <c r="F30" s="2"/>
      <c r="G30" s="2"/>
      <c r="H30" s="2"/>
      <c r="I30" s="2"/>
    </row>
    <row r="31" spans="1:9" ht="63.75" customHeight="1">
      <c r="A31" s="2"/>
      <c r="B31" s="719" t="s">
        <v>263</v>
      </c>
      <c r="C31" s="720"/>
      <c r="D31" s="720"/>
      <c r="E31" s="720"/>
      <c r="F31" s="720"/>
      <c r="G31" s="720"/>
      <c r="H31" s="2"/>
      <c r="I31" s="2"/>
    </row>
    <row r="32" spans="1:9" ht="7.5" customHeight="1">
      <c r="A32" s="2"/>
      <c r="B32" s="2"/>
      <c r="C32" s="2"/>
      <c r="D32" s="2"/>
      <c r="E32" s="2"/>
      <c r="F32" s="2"/>
      <c r="G32" s="2"/>
      <c r="H32" s="2"/>
      <c r="I32" s="2"/>
    </row>
    <row r="33" spans="1:9" ht="27" customHeight="1">
      <c r="A33" s="2"/>
      <c r="B33" s="719" t="s">
        <v>264</v>
      </c>
      <c r="C33" s="720"/>
      <c r="D33" s="720"/>
      <c r="E33" s="720"/>
      <c r="F33" s="720"/>
      <c r="G33" s="720"/>
      <c r="H33" s="323" t="str">
        <f>Intro!A33</f>
        <v>PFASen (Ver. 2.4) - 2025-10-09</v>
      </c>
      <c r="I33" s="2"/>
    </row>
    <row r="34" spans="1:9">
      <c r="A34" s="2"/>
      <c r="B34" s="2"/>
      <c r="C34" s="2"/>
      <c r="D34" s="2"/>
      <c r="E34" s="2"/>
      <c r="F34" s="2"/>
      <c r="G34" s="2"/>
      <c r="H34" s="2"/>
      <c r="I34" s="2"/>
    </row>
  </sheetData>
  <sheetProtection algorithmName="SHA-512" hashValue="naP7vFlLMdXTka4dY+opkkjeU06kA6jgidVHr61wf/RPmgSXZrj3v/gn1KqH/0dJGpExQdl82zmSjsr35TikJQ==" saltValue="vlEPxCxREQ0ewonj8r0+bQ==" spinCount="100000" sheet="1" objects="1" scenarios="1" selectLockedCells="1" selectUnlockedCells="1"/>
  <mergeCells count="15">
    <mergeCell ref="B31:G31"/>
    <mergeCell ref="B33:G33"/>
    <mergeCell ref="D2:E2"/>
    <mergeCell ref="D3:E3"/>
    <mergeCell ref="D1:E1"/>
    <mergeCell ref="F1:G1"/>
    <mergeCell ref="F2:G2"/>
    <mergeCell ref="F3:G3"/>
    <mergeCell ref="B27:H27"/>
    <mergeCell ref="B19:H19"/>
    <mergeCell ref="B21:H21"/>
    <mergeCell ref="B23:H23"/>
    <mergeCell ref="B25:H25"/>
    <mergeCell ref="B29:H29"/>
    <mergeCell ref="B17:H17"/>
  </mergeCells>
  <pageMargins left="0.59055118110236227" right="0.59055118110236227" top="0.74803149606299213" bottom="0.74803149606299213" header="0.31496062992125984" footer="0.31496062992125984"/>
  <pageSetup paperSize="9" scale="78"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37622-4556-4E69-B6A5-61859CFD8BF4}">
  <sheetPr codeName="Ark7">
    <tabColor theme="9" tint="-0.249977111117893"/>
  </sheetPr>
  <dimension ref="A1:AF124"/>
  <sheetViews>
    <sheetView zoomScale="80" zoomScaleNormal="80" workbookViewId="0">
      <selection activeCell="A62" sqref="A62"/>
    </sheetView>
  </sheetViews>
  <sheetFormatPr defaultRowHeight="15"/>
  <cols>
    <col min="1" max="1" width="9.140625" style="98"/>
    <col min="2" max="2" width="27.28515625" style="98" bestFit="1" customWidth="1"/>
    <col min="3" max="3" width="3.85546875" style="98" customWidth="1"/>
    <col min="4" max="10" width="9.28515625" style="98" bestFit="1" customWidth="1"/>
    <col min="11" max="11" width="9.5703125" style="98" bestFit="1" customWidth="1"/>
    <col min="12" max="15" width="9.28515625" style="98" bestFit="1" customWidth="1"/>
    <col min="16" max="16" width="9.5703125" style="98" bestFit="1" customWidth="1"/>
    <col min="17" max="20" width="9.28515625" style="98" bestFit="1" customWidth="1"/>
    <col min="21" max="21" width="9.5703125" style="98" bestFit="1" customWidth="1"/>
    <col min="22" max="23" width="10.5703125" style="98" bestFit="1" customWidth="1"/>
    <col min="24" max="25" width="11.5703125" style="98" bestFit="1" customWidth="1"/>
    <col min="26" max="27" width="9.140625" style="98"/>
    <col min="28" max="28" width="4.42578125" style="98" customWidth="1"/>
    <col min="29" max="16384" width="9.140625" style="98"/>
  </cols>
  <sheetData>
    <row r="1" spans="1:28" ht="17.25">
      <c r="A1" s="2"/>
      <c r="B1" s="2"/>
      <c r="C1" s="6" t="s">
        <v>65</v>
      </c>
      <c r="D1" s="10" t="s">
        <v>10</v>
      </c>
      <c r="E1" s="9" t="s">
        <v>28</v>
      </c>
      <c r="F1" s="9" t="s">
        <v>11</v>
      </c>
      <c r="G1" s="9" t="s">
        <v>12</v>
      </c>
      <c r="H1" s="9" t="s">
        <v>33</v>
      </c>
      <c r="I1" s="9" t="s">
        <v>14</v>
      </c>
      <c r="J1" s="223" t="s">
        <v>13</v>
      </c>
      <c r="K1" s="9" t="s">
        <v>61</v>
      </c>
      <c r="L1" s="223" t="s">
        <v>7</v>
      </c>
      <c r="M1" s="9" t="s">
        <v>31</v>
      </c>
      <c r="N1" s="9" t="s">
        <v>30</v>
      </c>
      <c r="O1" s="223" t="s">
        <v>15</v>
      </c>
      <c r="P1" s="223" t="s">
        <v>0</v>
      </c>
      <c r="Q1" s="9" t="s">
        <v>34</v>
      </c>
      <c r="R1" s="9" t="s">
        <v>27</v>
      </c>
      <c r="S1" s="9" t="s">
        <v>29</v>
      </c>
      <c r="T1" s="9" t="s">
        <v>32</v>
      </c>
      <c r="U1" s="9" t="s">
        <v>35</v>
      </c>
      <c r="V1" s="9" t="s">
        <v>37</v>
      </c>
      <c r="W1" s="9" t="s">
        <v>38</v>
      </c>
      <c r="X1" s="9" t="s">
        <v>36</v>
      </c>
      <c r="Y1" s="9" t="s">
        <v>39</v>
      </c>
      <c r="Z1" s="247" t="s">
        <v>406</v>
      </c>
      <c r="AA1" s="14" t="s">
        <v>407</v>
      </c>
      <c r="AB1" s="2"/>
    </row>
    <row r="2" spans="1:28" ht="14.25" customHeight="1">
      <c r="A2" s="2"/>
      <c r="B2" s="15"/>
      <c r="C2" s="32" t="s">
        <v>116</v>
      </c>
      <c r="D2" s="33">
        <v>3</v>
      </c>
      <c r="E2" s="4">
        <v>4</v>
      </c>
      <c r="F2" s="4">
        <v>4</v>
      </c>
      <c r="G2" s="4">
        <v>5</v>
      </c>
      <c r="H2" s="4">
        <v>5</v>
      </c>
      <c r="I2" s="4">
        <v>6</v>
      </c>
      <c r="J2" s="4">
        <v>6</v>
      </c>
      <c r="K2" s="4">
        <v>6</v>
      </c>
      <c r="L2" s="4">
        <v>7</v>
      </c>
      <c r="M2" s="4">
        <v>7</v>
      </c>
      <c r="N2" s="4">
        <v>8</v>
      </c>
      <c r="O2" s="4">
        <v>8</v>
      </c>
      <c r="P2" s="4">
        <v>8</v>
      </c>
      <c r="Q2" s="4">
        <v>9</v>
      </c>
      <c r="R2" s="4">
        <v>9</v>
      </c>
      <c r="S2" s="4">
        <v>10</v>
      </c>
      <c r="T2" s="4">
        <v>10</v>
      </c>
      <c r="U2" s="4">
        <v>11</v>
      </c>
      <c r="V2" s="4">
        <v>11</v>
      </c>
      <c r="W2" s="4">
        <v>12</v>
      </c>
      <c r="X2" s="4">
        <v>12</v>
      </c>
      <c r="Y2" s="4">
        <v>13</v>
      </c>
      <c r="Z2" s="33" t="s">
        <v>107</v>
      </c>
      <c r="AA2" s="109" t="s">
        <v>107</v>
      </c>
      <c r="AB2" s="2"/>
    </row>
    <row r="3" spans="1:28" ht="18.75">
      <c r="A3" s="2"/>
      <c r="B3" s="734" t="s">
        <v>100</v>
      </c>
      <c r="C3" s="735"/>
      <c r="D3" s="8">
        <v>127</v>
      </c>
      <c r="E3" s="8">
        <v>162</v>
      </c>
      <c r="F3" s="8">
        <v>155</v>
      </c>
      <c r="G3" s="8">
        <v>182</v>
      </c>
      <c r="H3" s="8">
        <v>190</v>
      </c>
      <c r="I3" s="8">
        <v>210</v>
      </c>
      <c r="J3" s="8">
        <v>217</v>
      </c>
      <c r="K3" s="8">
        <v>250</v>
      </c>
      <c r="L3" s="8">
        <v>237</v>
      </c>
      <c r="M3" s="8">
        <v>245</v>
      </c>
      <c r="N3" s="8">
        <v>278</v>
      </c>
      <c r="O3" s="8">
        <v>265</v>
      </c>
      <c r="P3" s="8">
        <v>272</v>
      </c>
      <c r="Q3" s="8">
        <v>292</v>
      </c>
      <c r="R3" s="8">
        <v>300</v>
      </c>
      <c r="S3" s="8">
        <v>327</v>
      </c>
      <c r="T3" s="8">
        <v>320</v>
      </c>
      <c r="U3" s="8">
        <v>347</v>
      </c>
      <c r="V3" s="8">
        <v>354</v>
      </c>
      <c r="W3" s="8">
        <v>382</v>
      </c>
      <c r="X3" s="8">
        <v>375</v>
      </c>
      <c r="Y3" s="8">
        <v>409</v>
      </c>
      <c r="Z3" s="110" t="s">
        <v>107</v>
      </c>
      <c r="AA3" s="111" t="s">
        <v>107</v>
      </c>
      <c r="AB3" s="2"/>
    </row>
    <row r="4" spans="1:28" ht="18">
      <c r="A4" s="2"/>
      <c r="B4" s="736" t="s">
        <v>104</v>
      </c>
      <c r="C4" s="737"/>
      <c r="D4" s="8">
        <v>214</v>
      </c>
      <c r="E4" s="8">
        <v>300</v>
      </c>
      <c r="F4" s="8">
        <v>264</v>
      </c>
      <c r="G4" s="8">
        <v>314</v>
      </c>
      <c r="H4" s="8">
        <v>350</v>
      </c>
      <c r="I4" s="8">
        <v>364</v>
      </c>
      <c r="J4" s="8">
        <v>400</v>
      </c>
      <c r="K4" s="8">
        <v>428</v>
      </c>
      <c r="L4" s="8">
        <v>414</v>
      </c>
      <c r="M4" s="8">
        <v>450</v>
      </c>
      <c r="N4" s="8">
        <v>499</v>
      </c>
      <c r="O4" s="8">
        <v>464</v>
      </c>
      <c r="P4" s="8">
        <v>500</v>
      </c>
      <c r="Q4" s="8">
        <v>514</v>
      </c>
      <c r="R4" s="8">
        <v>550</v>
      </c>
      <c r="S4" s="8">
        <v>600</v>
      </c>
      <c r="T4" s="8">
        <v>564</v>
      </c>
      <c r="U4" s="8">
        <v>614</v>
      </c>
      <c r="V4" s="8">
        <v>650</v>
      </c>
      <c r="W4" s="8">
        <v>700</v>
      </c>
      <c r="X4" s="8">
        <v>664</v>
      </c>
      <c r="Y4" s="8">
        <v>750</v>
      </c>
      <c r="Z4" s="110" t="s">
        <v>107</v>
      </c>
      <c r="AA4" s="111" t="s">
        <v>107</v>
      </c>
      <c r="AB4" s="2"/>
    </row>
    <row r="5" spans="1:28" ht="18">
      <c r="A5" s="2"/>
      <c r="B5" s="738" t="s">
        <v>103</v>
      </c>
      <c r="C5" s="739"/>
      <c r="D5" s="24">
        <f>10^(0.019*D3-7.1)</f>
        <v>2.0558905959841433E-5</v>
      </c>
      <c r="E5" s="24">
        <f t="shared" ref="E5:Y5" si="0">10^(0.019*E3-7.1)</f>
        <v>9.506047936562795E-5</v>
      </c>
      <c r="F5" s="24">
        <f t="shared" si="0"/>
        <v>6.9984199600227391E-5</v>
      </c>
      <c r="G5" s="24">
        <f t="shared" si="0"/>
        <v>2.2803420720004172E-4</v>
      </c>
      <c r="H5" s="24">
        <f t="shared" si="0"/>
        <v>3.235936569296281E-4</v>
      </c>
      <c r="I5" s="24">
        <f t="shared" si="0"/>
        <v>7.7624711662869128E-4</v>
      </c>
      <c r="J5" s="24">
        <f t="shared" si="0"/>
        <v>1.0543868963912592E-3</v>
      </c>
      <c r="K5" s="24">
        <f t="shared" si="0"/>
        <v>4.4668359215096322E-3</v>
      </c>
      <c r="L5" s="24">
        <f t="shared" si="0"/>
        <v>2.5292979964461454E-3</v>
      </c>
      <c r="M5" s="24">
        <f t="shared" si="0"/>
        <v>3.589219346450056E-3</v>
      </c>
      <c r="N5" s="24">
        <f t="shared" si="0"/>
        <v>1.5205475297324958E-2</v>
      </c>
      <c r="O5" s="24">
        <f t="shared" si="0"/>
        <v>8.6099375218460159E-3</v>
      </c>
      <c r="P5" s="24">
        <f t="shared" si="0"/>
        <v>1.1694993910198723E-2</v>
      </c>
      <c r="Q5" s="24">
        <f t="shared" si="0"/>
        <v>2.805433637951715E-2</v>
      </c>
      <c r="R5" s="24">
        <f t="shared" si="0"/>
        <v>3.9810717055349762E-2</v>
      </c>
      <c r="S5" s="24">
        <f t="shared" si="0"/>
        <v>0.12971792709839572</v>
      </c>
      <c r="T5" s="24">
        <f t="shared" si="0"/>
        <v>9.5499258602143686E-2</v>
      </c>
      <c r="U5" s="24">
        <f t="shared" si="0"/>
        <v>0.31117163371060197</v>
      </c>
      <c r="V5" s="24">
        <f t="shared" si="0"/>
        <v>0.42266861426560326</v>
      </c>
      <c r="W5" s="24">
        <f t="shared" si="0"/>
        <v>1.4387985782558466</v>
      </c>
      <c r="X5" s="24">
        <f t="shared" si="0"/>
        <v>1.0592537251772898</v>
      </c>
      <c r="Y5" s="24">
        <f t="shared" si="0"/>
        <v>4.6881338214526558</v>
      </c>
      <c r="Z5" s="245" t="s">
        <v>107</v>
      </c>
      <c r="AA5" s="246" t="s">
        <v>107</v>
      </c>
      <c r="AB5" s="2"/>
    </row>
    <row r="6" spans="1:28" ht="18">
      <c r="A6" s="2"/>
      <c r="B6" s="740" t="s">
        <v>106</v>
      </c>
      <c r="C6" s="741"/>
      <c r="D6" s="25">
        <f>10^(0.021*D3-(7.1-0.45))</f>
        <v>1.0399201658290596E-4</v>
      </c>
      <c r="E6" s="25">
        <f t="shared" ref="E6:Y6" si="1">10^(0.021*E3-(7.1-0.45))</f>
        <v>5.6493697481230275E-4</v>
      </c>
      <c r="F6" s="25">
        <f t="shared" si="1"/>
        <v>4.027170343254596E-4</v>
      </c>
      <c r="G6" s="25">
        <f t="shared" si="1"/>
        <v>1.4859356422870082E-3</v>
      </c>
      <c r="H6" s="25">
        <f t="shared" si="1"/>
        <v>2.187761623949556E-3</v>
      </c>
      <c r="I6" s="25">
        <f t="shared" si="1"/>
        <v>5.7543993733715744E-3</v>
      </c>
      <c r="J6" s="25">
        <f t="shared" si="1"/>
        <v>8.0723503024883961E-3</v>
      </c>
      <c r="K6" s="25">
        <f t="shared" si="1"/>
        <v>3.9810717055349762E-2</v>
      </c>
      <c r="L6" s="25">
        <f t="shared" si="1"/>
        <v>2.1232444620002223E-2</v>
      </c>
      <c r="M6" s="25">
        <f t="shared" si="1"/>
        <v>3.1260793671239608E-2</v>
      </c>
      <c r="N6" s="25">
        <f t="shared" si="1"/>
        <v>0.15417004529495612</v>
      </c>
      <c r="O6" s="25">
        <f t="shared" si="1"/>
        <v>8.2224264994707266E-2</v>
      </c>
      <c r="P6" s="25">
        <f t="shared" si="1"/>
        <v>0.11534532578210949</v>
      </c>
      <c r="Q6" s="25">
        <f t="shared" si="1"/>
        <v>0.30338911841942773</v>
      </c>
      <c r="R6" s="25">
        <f t="shared" si="1"/>
        <v>0.44668359215096437</v>
      </c>
      <c r="S6" s="25">
        <f t="shared" si="1"/>
        <v>1.6481623915255101</v>
      </c>
      <c r="T6" s="25">
        <f t="shared" si="1"/>
        <v>1.1748975549395326</v>
      </c>
      <c r="U6" s="25">
        <f t="shared" si="1"/>
        <v>4.3351087838753033</v>
      </c>
      <c r="V6" s="25">
        <f t="shared" si="1"/>
        <v>6.0813500127871896</v>
      </c>
      <c r="W6" s="25">
        <f t="shared" si="1"/>
        <v>23.550492838960146</v>
      </c>
      <c r="X6" s="25">
        <f t="shared" si="1"/>
        <v>16.788040181225661</v>
      </c>
      <c r="Y6" s="25">
        <f t="shared" si="1"/>
        <v>86.896042928630436</v>
      </c>
      <c r="Z6" s="48" t="s">
        <v>107</v>
      </c>
      <c r="AA6" s="47" t="s">
        <v>107</v>
      </c>
      <c r="AB6" s="2"/>
    </row>
    <row r="7" spans="1:28" ht="18">
      <c r="A7" s="2"/>
      <c r="B7" s="742" t="s">
        <v>105</v>
      </c>
      <c r="C7" s="743"/>
      <c r="D7" s="26">
        <f t="shared" ref="D7" si="2">10^(0.017*D3-(7.1+0.45))</f>
        <v>4.0644332916521249E-6</v>
      </c>
      <c r="E7" s="26">
        <f>10^(0.017*E3-(7.1+0.45))</f>
        <v>1.5995580286146698E-5</v>
      </c>
      <c r="F7" s="26">
        <f t="shared" ref="F7:Y7" si="3">10^(0.017*F3-(7.1+0.45))</f>
        <v>1.216186000646369E-5</v>
      </c>
      <c r="G7" s="26">
        <f t="shared" si="3"/>
        <v>3.4994516702835761E-5</v>
      </c>
      <c r="H7" s="26">
        <f t="shared" si="3"/>
        <v>4.7863009232263851E-5</v>
      </c>
      <c r="I7" s="26">
        <f t="shared" si="3"/>
        <v>1.0471285480509003E-4</v>
      </c>
      <c r="J7" s="26">
        <f t="shared" si="3"/>
        <v>1.3772094688939448E-4</v>
      </c>
      <c r="K7" s="26">
        <f t="shared" si="3"/>
        <v>5.0118723362727209E-4</v>
      </c>
      <c r="L7" s="26">
        <f t="shared" si="3"/>
        <v>3.0130060241861185E-4</v>
      </c>
      <c r="M7" s="26">
        <f t="shared" si="3"/>
        <v>4.1209751909733E-4</v>
      </c>
      <c r="N7" s="26">
        <f t="shared" si="3"/>
        <v>1.4996848355023737E-3</v>
      </c>
      <c r="O7" s="26">
        <f t="shared" si="3"/>
        <v>9.0157113760595668E-4</v>
      </c>
      <c r="P7" s="26">
        <f t="shared" si="3"/>
        <v>1.1857687481671617E-3</v>
      </c>
      <c r="Q7" s="26">
        <f t="shared" si="3"/>
        <v>2.5941793621188165E-3</v>
      </c>
      <c r="R7" s="26">
        <f t="shared" si="3"/>
        <v>3.5481338923357593E-3</v>
      </c>
      <c r="S7" s="26">
        <f t="shared" si="3"/>
        <v>1.0209394837076806E-2</v>
      </c>
      <c r="T7" s="26">
        <f t="shared" si="3"/>
        <v>7.7624711662869226E-3</v>
      </c>
      <c r="U7" s="26">
        <f t="shared" si="3"/>
        <v>2.2335722228305314E-2</v>
      </c>
      <c r="V7" s="26">
        <f t="shared" si="3"/>
        <v>2.9376496519615356E-2</v>
      </c>
      <c r="W7" s="26">
        <f t="shared" si="3"/>
        <v>8.79022516830886E-2</v>
      </c>
      <c r="X7" s="26">
        <f t="shared" si="3"/>
        <v>6.6834391756861622E-2</v>
      </c>
      <c r="Y7" s="26">
        <f t="shared" si="3"/>
        <v>0.25292979964461471</v>
      </c>
      <c r="Z7" s="49" t="s">
        <v>107</v>
      </c>
      <c r="AA7" s="50" t="s">
        <v>107</v>
      </c>
      <c r="AB7" s="2"/>
    </row>
    <row r="8" spans="1:28">
      <c r="A8" s="2"/>
      <c r="B8" s="2"/>
      <c r="C8" s="2"/>
      <c r="D8" s="2"/>
      <c r="E8" s="2"/>
      <c r="F8" s="2"/>
      <c r="G8" s="2"/>
      <c r="H8" s="2"/>
      <c r="I8" s="2"/>
      <c r="J8" s="2"/>
      <c r="K8" s="2"/>
      <c r="L8" s="2"/>
      <c r="M8" s="2"/>
      <c r="N8" s="2"/>
      <c r="O8" s="2"/>
      <c r="P8" s="2"/>
      <c r="Q8" s="2"/>
      <c r="R8" s="2"/>
      <c r="S8" s="2"/>
      <c r="T8" s="2"/>
      <c r="U8" s="2"/>
      <c r="V8" s="2"/>
      <c r="W8" s="2"/>
      <c r="X8" s="2"/>
      <c r="Y8" s="2"/>
      <c r="Z8" s="2"/>
      <c r="AA8" s="2"/>
      <c r="AB8" s="2"/>
    </row>
    <row r="9" spans="1:28" ht="18">
      <c r="A9" s="2"/>
      <c r="B9" s="38" t="s">
        <v>131</v>
      </c>
      <c r="C9" s="23" t="s">
        <v>111</v>
      </c>
      <c r="D9" s="13" t="s">
        <v>10</v>
      </c>
      <c r="E9" s="16" t="s">
        <v>28</v>
      </c>
      <c r="F9" s="16" t="s">
        <v>11</v>
      </c>
      <c r="G9" s="16" t="s">
        <v>12</v>
      </c>
      <c r="H9" s="16" t="s">
        <v>33</v>
      </c>
      <c r="I9" s="16" t="s">
        <v>14</v>
      </c>
      <c r="J9" s="224" t="s">
        <v>13</v>
      </c>
      <c r="K9" s="16" t="s">
        <v>61</v>
      </c>
      <c r="L9" s="224" t="s">
        <v>7</v>
      </c>
      <c r="M9" s="16" t="s">
        <v>31</v>
      </c>
      <c r="N9" s="16" t="s">
        <v>30</v>
      </c>
      <c r="O9" s="224" t="s">
        <v>15</v>
      </c>
      <c r="P9" s="224" t="s">
        <v>0</v>
      </c>
      <c r="Q9" s="16" t="s">
        <v>34</v>
      </c>
      <c r="R9" s="16" t="s">
        <v>27</v>
      </c>
      <c r="S9" s="16" t="s">
        <v>29</v>
      </c>
      <c r="T9" s="16" t="s">
        <v>32</v>
      </c>
      <c r="U9" s="16" t="s">
        <v>35</v>
      </c>
      <c r="V9" s="16" t="s">
        <v>37</v>
      </c>
      <c r="W9" s="16" t="s">
        <v>38</v>
      </c>
      <c r="X9" s="16" t="s">
        <v>36</v>
      </c>
      <c r="Y9" s="14" t="s">
        <v>39</v>
      </c>
      <c r="Z9" s="247" t="s">
        <v>406</v>
      </c>
      <c r="AA9" s="14" t="s">
        <v>407</v>
      </c>
      <c r="AB9" s="2"/>
    </row>
    <row r="10" spans="1:28">
      <c r="A10" s="2"/>
      <c r="B10" s="22"/>
      <c r="C10" s="32" t="s">
        <v>116</v>
      </c>
      <c r="D10" s="33">
        <v>3</v>
      </c>
      <c r="E10" s="4">
        <v>4</v>
      </c>
      <c r="F10" s="4">
        <v>4</v>
      </c>
      <c r="G10" s="4">
        <v>5</v>
      </c>
      <c r="H10" s="4">
        <v>5</v>
      </c>
      <c r="I10" s="4">
        <v>6</v>
      </c>
      <c r="J10" s="4">
        <v>6</v>
      </c>
      <c r="K10" s="4">
        <v>6</v>
      </c>
      <c r="L10" s="4">
        <v>7</v>
      </c>
      <c r="M10" s="4">
        <v>7</v>
      </c>
      <c r="N10" s="4">
        <v>8</v>
      </c>
      <c r="O10" s="4">
        <v>8</v>
      </c>
      <c r="P10" s="4">
        <v>8</v>
      </c>
      <c r="Q10" s="4">
        <v>9</v>
      </c>
      <c r="R10" s="4">
        <v>9</v>
      </c>
      <c r="S10" s="4">
        <v>10</v>
      </c>
      <c r="T10" s="4">
        <v>10</v>
      </c>
      <c r="U10" s="4">
        <v>11</v>
      </c>
      <c r="V10" s="4">
        <v>11</v>
      </c>
      <c r="W10" s="4">
        <v>12</v>
      </c>
      <c r="X10" s="4">
        <v>12</v>
      </c>
      <c r="Y10" s="4">
        <v>13</v>
      </c>
      <c r="Z10" s="33" t="s">
        <v>107</v>
      </c>
      <c r="AA10" s="109" t="s">
        <v>107</v>
      </c>
      <c r="AB10" s="2"/>
    </row>
    <row r="11" spans="1:28">
      <c r="A11" s="105" t="s">
        <v>97</v>
      </c>
      <c r="B11" s="19" t="s">
        <v>187</v>
      </c>
      <c r="C11" s="137">
        <v>1</v>
      </c>
      <c r="D11" s="248">
        <f t="shared" ref="D11:Y11" si="4">IF(D$4&lt;$AB$11,10^(-1.2),10^(0.0149*D$4-6.32))</f>
        <v>6.3095734448019317E-2</v>
      </c>
      <c r="E11" s="252">
        <f t="shared" si="4"/>
        <v>6.3095734448019317E-2</v>
      </c>
      <c r="F11" s="252">
        <f t="shared" si="4"/>
        <v>6.3095734448019317E-2</v>
      </c>
      <c r="G11" s="252">
        <f t="shared" si="4"/>
        <v>6.3095734448019317E-2</v>
      </c>
      <c r="H11" s="252">
        <f t="shared" si="4"/>
        <v>7.852356346100707E-2</v>
      </c>
      <c r="I11" s="252">
        <f t="shared" si="4"/>
        <v>0.12694044019618031</v>
      </c>
      <c r="J11" s="252">
        <f t="shared" si="4"/>
        <v>0.4365158322401656</v>
      </c>
      <c r="K11" s="252">
        <f t="shared" si="4"/>
        <v>1.1407750129221204</v>
      </c>
      <c r="L11" s="252">
        <f t="shared" si="4"/>
        <v>0.70566731124835602</v>
      </c>
      <c r="M11" s="252">
        <f t="shared" si="4"/>
        <v>2.4266100950824145</v>
      </c>
      <c r="N11" s="252">
        <f t="shared" si="4"/>
        <v>13.034668782410135</v>
      </c>
      <c r="O11" s="252">
        <f t="shared" si="4"/>
        <v>3.9228346253952018</v>
      </c>
      <c r="P11" s="252">
        <f t="shared" si="4"/>
        <v>13.489628825916535</v>
      </c>
      <c r="Q11" s="252">
        <f t="shared" si="4"/>
        <v>21.807204688249421</v>
      </c>
      <c r="R11" s="252">
        <f t="shared" si="4"/>
        <v>74.98942093324564</v>
      </c>
      <c r="S11" s="252">
        <f t="shared" si="4"/>
        <v>416.86938347033498</v>
      </c>
      <c r="T11" s="252">
        <f t="shared" si="4"/>
        <v>121.22717925364984</v>
      </c>
      <c r="U11" s="252">
        <f t="shared" si="4"/>
        <v>673.90705043986225</v>
      </c>
      <c r="V11" s="252">
        <f t="shared" si="4"/>
        <v>2317.3946499684821</v>
      </c>
      <c r="W11" s="252">
        <f t="shared" si="4"/>
        <v>12882.495516931338</v>
      </c>
      <c r="X11" s="252">
        <f t="shared" si="4"/>
        <v>3746.2779834405937</v>
      </c>
      <c r="Y11" s="252">
        <f t="shared" si="4"/>
        <v>71614.341021290311</v>
      </c>
      <c r="Z11" s="48" t="s">
        <v>107</v>
      </c>
      <c r="AA11" s="47" t="s">
        <v>107</v>
      </c>
      <c r="AB11" s="244">
        <v>345</v>
      </c>
    </row>
    <row r="12" spans="1:28">
      <c r="A12" s="106"/>
      <c r="B12" s="20" t="s">
        <v>102</v>
      </c>
      <c r="C12" s="34">
        <v>2</v>
      </c>
      <c r="D12" s="253">
        <f t="shared" ref="D12:Y12" si="5">IF(D$4&lt;$AB$12,10^(-1.4),10^(0.0122*D$4-5.69))</f>
        <v>3.9810717055349727E-2</v>
      </c>
      <c r="E12" s="254">
        <f t="shared" si="5"/>
        <v>3.9810717055349727E-2</v>
      </c>
      <c r="F12" s="254">
        <f t="shared" si="5"/>
        <v>3.9810717055349727E-2</v>
      </c>
      <c r="G12" s="254">
        <f t="shared" si="5"/>
        <v>3.9810717055349727E-2</v>
      </c>
      <c r="H12" s="254">
        <f t="shared" si="5"/>
        <v>3.801893963205611E-2</v>
      </c>
      <c r="I12" s="254">
        <f t="shared" si="5"/>
        <v>5.633781508509382E-2</v>
      </c>
      <c r="J12" s="254">
        <f t="shared" si="5"/>
        <v>0.15488166189124791</v>
      </c>
      <c r="K12" s="254">
        <f t="shared" si="5"/>
        <v>0.34009480651219093</v>
      </c>
      <c r="L12" s="254">
        <f t="shared" si="5"/>
        <v>0.22950914760242272</v>
      </c>
      <c r="M12" s="254">
        <f t="shared" si="5"/>
        <v>0.63095734448019292</v>
      </c>
      <c r="N12" s="254">
        <f t="shared" si="5"/>
        <v>2.4991941751958291</v>
      </c>
      <c r="O12" s="254">
        <f t="shared" si="5"/>
        <v>0.9349750030885996</v>
      </c>
      <c r="P12" s="254">
        <f t="shared" si="5"/>
        <v>2.5703957827688648</v>
      </c>
      <c r="Q12" s="254">
        <f t="shared" si="5"/>
        <v>3.808903764981352</v>
      </c>
      <c r="R12" s="254">
        <f t="shared" si="5"/>
        <v>10.47128548050901</v>
      </c>
      <c r="S12" s="254">
        <f t="shared" si="5"/>
        <v>42.657951880159267</v>
      </c>
      <c r="T12" s="254">
        <f t="shared" si="5"/>
        <v>15.516722739072351</v>
      </c>
      <c r="U12" s="254">
        <f t="shared" si="5"/>
        <v>63.212068200526787</v>
      </c>
      <c r="V12" s="254">
        <f t="shared" si="5"/>
        <v>173.78008287493768</v>
      </c>
      <c r="W12" s="254">
        <f t="shared" si="5"/>
        <v>707.94578438413942</v>
      </c>
      <c r="X12" s="254">
        <f t="shared" si="5"/>
        <v>257.51349904103199</v>
      </c>
      <c r="Y12" s="255">
        <f t="shared" si="5"/>
        <v>2884.0315031266077</v>
      </c>
      <c r="Z12" s="48" t="s">
        <v>107</v>
      </c>
      <c r="AA12" s="47" t="s">
        <v>107</v>
      </c>
      <c r="AB12" s="244">
        <v>345</v>
      </c>
    </row>
    <row r="13" spans="1:28">
      <c r="A13" s="106"/>
      <c r="B13" s="20" t="s">
        <v>186</v>
      </c>
      <c r="C13" s="34">
        <v>3</v>
      </c>
      <c r="D13" s="249">
        <f t="shared" ref="D13:Y13" si="6">IF(D$4&lt;$AB$13,10^(-1.2),10^(0.0149*D$4-6.32))</f>
        <v>6.3095734448019317E-2</v>
      </c>
      <c r="E13" s="250">
        <f t="shared" si="6"/>
        <v>6.3095734448019317E-2</v>
      </c>
      <c r="F13" s="250">
        <f t="shared" si="6"/>
        <v>6.3095734448019317E-2</v>
      </c>
      <c r="G13" s="250">
        <f t="shared" si="6"/>
        <v>6.3095734448019317E-2</v>
      </c>
      <c r="H13" s="250">
        <f t="shared" si="6"/>
        <v>7.852356346100707E-2</v>
      </c>
      <c r="I13" s="250">
        <f t="shared" si="6"/>
        <v>0.12694044019618031</v>
      </c>
      <c r="J13" s="250">
        <f t="shared" si="6"/>
        <v>0.4365158322401656</v>
      </c>
      <c r="K13" s="250">
        <f t="shared" si="6"/>
        <v>1.1407750129221204</v>
      </c>
      <c r="L13" s="250">
        <f t="shared" si="6"/>
        <v>0.70566731124835602</v>
      </c>
      <c r="M13" s="250">
        <f t="shared" si="6"/>
        <v>2.4266100950824145</v>
      </c>
      <c r="N13" s="250">
        <f t="shared" si="6"/>
        <v>13.034668782410135</v>
      </c>
      <c r="O13" s="250">
        <f t="shared" si="6"/>
        <v>3.9228346253952018</v>
      </c>
      <c r="P13" s="250">
        <f t="shared" si="6"/>
        <v>13.489628825916535</v>
      </c>
      <c r="Q13" s="250">
        <f t="shared" si="6"/>
        <v>21.807204688249421</v>
      </c>
      <c r="R13" s="250">
        <f t="shared" si="6"/>
        <v>74.98942093324564</v>
      </c>
      <c r="S13" s="250">
        <f t="shared" si="6"/>
        <v>416.86938347033498</v>
      </c>
      <c r="T13" s="250">
        <f t="shared" si="6"/>
        <v>121.22717925364984</v>
      </c>
      <c r="U13" s="250">
        <f t="shared" si="6"/>
        <v>673.90705043986225</v>
      </c>
      <c r="V13" s="250">
        <f t="shared" si="6"/>
        <v>2317.3946499684821</v>
      </c>
      <c r="W13" s="250">
        <f t="shared" si="6"/>
        <v>12882.495516931338</v>
      </c>
      <c r="X13" s="250">
        <f t="shared" si="6"/>
        <v>3746.2779834405937</v>
      </c>
      <c r="Y13" s="251">
        <f t="shared" si="6"/>
        <v>71614.341021290311</v>
      </c>
      <c r="Z13" s="48" t="s">
        <v>107</v>
      </c>
      <c r="AA13" s="47" t="s">
        <v>107</v>
      </c>
      <c r="AB13" s="244">
        <f>AB11</f>
        <v>345</v>
      </c>
    </row>
    <row r="14" spans="1:28">
      <c r="A14" s="106"/>
      <c r="B14" s="20" t="s">
        <v>93</v>
      </c>
      <c r="C14" s="34">
        <v>4</v>
      </c>
      <c r="D14" s="259">
        <f t="shared" ref="D14:Y14" si="7">IF(D$4&lt;$AB$14,10^(-1.6),10^(0.0088*D$4-4.73))</f>
        <v>2.511886431509578E-2</v>
      </c>
      <c r="E14" s="260">
        <f t="shared" si="7"/>
        <v>2.511886431509578E-2</v>
      </c>
      <c r="F14" s="260">
        <f t="shared" si="7"/>
        <v>2.511886431509578E-2</v>
      </c>
      <c r="G14" s="260">
        <f t="shared" si="7"/>
        <v>2.511886431509578E-2</v>
      </c>
      <c r="H14" s="260">
        <f t="shared" si="7"/>
        <v>2.511886431509578E-2</v>
      </c>
      <c r="I14" s="260">
        <f t="shared" si="7"/>
        <v>2.511886431509578E-2</v>
      </c>
      <c r="J14" s="260">
        <f t="shared" si="7"/>
        <v>6.1659500186148131E-2</v>
      </c>
      <c r="K14" s="260">
        <f t="shared" si="7"/>
        <v>0.10874267195462432</v>
      </c>
      <c r="L14" s="260">
        <f t="shared" si="7"/>
        <v>8.1884179190051157E-2</v>
      </c>
      <c r="M14" s="260">
        <f t="shared" si="7"/>
        <v>0.16982436524617442</v>
      </c>
      <c r="N14" s="260">
        <f t="shared" si="7"/>
        <v>0.45835291743818879</v>
      </c>
      <c r="O14" s="260">
        <f t="shared" si="7"/>
        <v>0.22552775667452485</v>
      </c>
      <c r="P14" s="260">
        <f t="shared" si="7"/>
        <v>0.46773514128719806</v>
      </c>
      <c r="Q14" s="260">
        <f t="shared" si="7"/>
        <v>0.62115502083244145</v>
      </c>
      <c r="R14" s="260">
        <f t="shared" si="7"/>
        <v>1.2882495516931323</v>
      </c>
      <c r="S14" s="260">
        <f t="shared" si="7"/>
        <v>3.5481338923357533</v>
      </c>
      <c r="T14" s="260">
        <f t="shared" si="7"/>
        <v>1.7108029875993289</v>
      </c>
      <c r="U14" s="260">
        <f t="shared" si="7"/>
        <v>4.7119426942027562</v>
      </c>
      <c r="V14" s="260">
        <f t="shared" si="7"/>
        <v>9.7723722095581138</v>
      </c>
      <c r="W14" s="260">
        <f t="shared" si="7"/>
        <v>26.915348039269148</v>
      </c>
      <c r="X14" s="260">
        <f t="shared" si="7"/>
        <v>12.977767816857815</v>
      </c>
      <c r="Y14" s="261">
        <f t="shared" si="7"/>
        <v>74.131024130091816</v>
      </c>
      <c r="Z14" s="48" t="s">
        <v>107</v>
      </c>
      <c r="AA14" s="47" t="s">
        <v>107</v>
      </c>
      <c r="AB14" s="244">
        <v>365</v>
      </c>
    </row>
    <row r="15" spans="1:28">
      <c r="A15" s="106"/>
      <c r="B15" s="20" t="s">
        <v>94</v>
      </c>
      <c r="C15" s="34">
        <v>5</v>
      </c>
      <c r="D15" s="265">
        <f t="shared" ref="D15:Y15" si="8">IF(D$4&lt;$AB$15,10^(-1.2),10^(0.0125*D$4-5.58))</f>
        <v>6.3095734448019317E-2</v>
      </c>
      <c r="E15" s="266">
        <f t="shared" si="8"/>
        <v>6.3095734448019317E-2</v>
      </c>
      <c r="F15" s="266">
        <f t="shared" si="8"/>
        <v>6.3095734448019317E-2</v>
      </c>
      <c r="G15" s="266">
        <f t="shared" si="8"/>
        <v>6.3095734448019317E-2</v>
      </c>
      <c r="H15" s="266">
        <f t="shared" si="8"/>
        <v>6.2373483548241897E-2</v>
      </c>
      <c r="I15" s="266">
        <f t="shared" si="8"/>
        <v>9.3325430079699026E-2</v>
      </c>
      <c r="J15" s="266">
        <f t="shared" si="8"/>
        <v>0.26302679918953814</v>
      </c>
      <c r="K15" s="266">
        <f t="shared" si="8"/>
        <v>0.58884365535558947</v>
      </c>
      <c r="L15" s="266">
        <f t="shared" si="8"/>
        <v>0.39355007545577803</v>
      </c>
      <c r="M15" s="266">
        <f t="shared" si="8"/>
        <v>1.1091748152624008</v>
      </c>
      <c r="N15" s="266">
        <f t="shared" si="8"/>
        <v>4.5446453720950952</v>
      </c>
      <c r="O15" s="266">
        <f t="shared" si="8"/>
        <v>1.6595869074375633</v>
      </c>
      <c r="P15" s="266">
        <f t="shared" si="8"/>
        <v>4.6773514128719818</v>
      </c>
      <c r="Q15" s="266">
        <f t="shared" si="8"/>
        <v>6.9984199600227468</v>
      </c>
      <c r="R15" s="266">
        <f t="shared" si="8"/>
        <v>19.724227361148539</v>
      </c>
      <c r="S15" s="266">
        <f t="shared" si="8"/>
        <v>83.176377110267126</v>
      </c>
      <c r="T15" s="266">
        <f t="shared" si="8"/>
        <v>29.512092266663913</v>
      </c>
      <c r="U15" s="266">
        <f t="shared" si="8"/>
        <v>124.45146117713878</v>
      </c>
      <c r="V15" s="266">
        <f t="shared" si="8"/>
        <v>350.75187395256819</v>
      </c>
      <c r="W15" s="266">
        <f t="shared" si="8"/>
        <v>1479.1083881682086</v>
      </c>
      <c r="X15" s="266">
        <f t="shared" si="8"/>
        <v>524.80746024977384</v>
      </c>
      <c r="Y15" s="267">
        <f t="shared" si="8"/>
        <v>6237.3483548241993</v>
      </c>
      <c r="Z15" s="48" t="s">
        <v>107</v>
      </c>
      <c r="AA15" s="47" t="s">
        <v>107</v>
      </c>
      <c r="AB15" s="244">
        <v>345</v>
      </c>
    </row>
    <row r="16" spans="1:28">
      <c r="A16" s="106"/>
      <c r="B16" s="20" t="s">
        <v>158</v>
      </c>
      <c r="C16" s="34">
        <v>6</v>
      </c>
      <c r="D16" s="268">
        <f t="shared" ref="D16:Y16" si="9">IF(D$4&lt;$AB$16,10^(-1.2),10^(0.0109*D$4-5.68))</f>
        <v>6.3095734448019317E-2</v>
      </c>
      <c r="E16" s="269">
        <f t="shared" si="9"/>
        <v>6.3095734448019317E-2</v>
      </c>
      <c r="F16" s="269">
        <f t="shared" si="9"/>
        <v>6.3095734448019317E-2</v>
      </c>
      <c r="G16" s="269">
        <f t="shared" si="9"/>
        <v>6.3095734448019317E-2</v>
      </c>
      <c r="H16" s="269">
        <f t="shared" si="9"/>
        <v>6.3095734448019317E-2</v>
      </c>
      <c r="I16" s="269">
        <f t="shared" si="9"/>
        <v>6.3095734448019317E-2</v>
      </c>
      <c r="J16" s="269">
        <f t="shared" si="9"/>
        <v>6.3095734448019317E-2</v>
      </c>
      <c r="K16" s="269">
        <f t="shared" si="9"/>
        <v>9.6649586431421339E-2</v>
      </c>
      <c r="L16" s="269">
        <f t="shared" si="9"/>
        <v>6.8014263560385646E-2</v>
      </c>
      <c r="M16" s="269">
        <f t="shared" si="9"/>
        <v>0.16788040181225619</v>
      </c>
      <c r="N16" s="269">
        <f t="shared" si="9"/>
        <v>0.57424867262878299</v>
      </c>
      <c r="O16" s="269">
        <f t="shared" si="9"/>
        <v>0.23856130399309131</v>
      </c>
      <c r="P16" s="269">
        <f t="shared" si="9"/>
        <v>0.58884365535558947</v>
      </c>
      <c r="Q16" s="269">
        <f t="shared" si="9"/>
        <v>0.83675824428145018</v>
      </c>
      <c r="R16" s="269">
        <f t="shared" si="9"/>
        <v>2.0653801558105314</v>
      </c>
      <c r="S16" s="269">
        <f t="shared" si="9"/>
        <v>7.2443596007499069</v>
      </c>
      <c r="T16" s="269">
        <f t="shared" si="9"/>
        <v>2.9349452222697927</v>
      </c>
      <c r="U16" s="269">
        <f t="shared" si="9"/>
        <v>10.294375366592661</v>
      </c>
      <c r="V16" s="269">
        <f t="shared" si="9"/>
        <v>25.409727055493072</v>
      </c>
      <c r="W16" s="269">
        <f t="shared" si="9"/>
        <v>89.125093813374633</v>
      </c>
      <c r="X16" s="269">
        <f t="shared" si="9"/>
        <v>36.107714510035294</v>
      </c>
      <c r="Y16" s="270">
        <f t="shared" si="9"/>
        <v>312.60793671239639</v>
      </c>
      <c r="Z16" s="48" t="s">
        <v>107</v>
      </c>
      <c r="AA16" s="47" t="s">
        <v>107</v>
      </c>
      <c r="AB16" s="244">
        <v>410</v>
      </c>
    </row>
    <row r="17" spans="1:28">
      <c r="A17" s="106"/>
      <c r="B17" s="18" t="s">
        <v>109</v>
      </c>
      <c r="C17" s="35">
        <v>7</v>
      </c>
      <c r="D17" s="256">
        <f t="shared" ref="D17:Y17" si="10">IF(D$4&lt;$AB$17,10^(-1.4),10^(0.0122*D$4-5.69))</f>
        <v>3.9810717055349727E-2</v>
      </c>
      <c r="E17" s="257">
        <f t="shared" si="10"/>
        <v>3.9810717055349727E-2</v>
      </c>
      <c r="F17" s="257">
        <f t="shared" si="10"/>
        <v>3.9810717055349727E-2</v>
      </c>
      <c r="G17" s="257">
        <f t="shared" si="10"/>
        <v>3.9810717055349727E-2</v>
      </c>
      <c r="H17" s="257">
        <f t="shared" si="10"/>
        <v>3.801893963205611E-2</v>
      </c>
      <c r="I17" s="257">
        <f t="shared" si="10"/>
        <v>5.633781508509382E-2</v>
      </c>
      <c r="J17" s="257">
        <f t="shared" si="10"/>
        <v>0.15488166189124791</v>
      </c>
      <c r="K17" s="257">
        <f t="shared" si="10"/>
        <v>0.34009480651219093</v>
      </c>
      <c r="L17" s="257">
        <f t="shared" si="10"/>
        <v>0.22950914760242272</v>
      </c>
      <c r="M17" s="257">
        <f t="shared" si="10"/>
        <v>0.63095734448019292</v>
      </c>
      <c r="N17" s="257">
        <f t="shared" si="10"/>
        <v>2.4991941751958291</v>
      </c>
      <c r="O17" s="257">
        <f t="shared" si="10"/>
        <v>0.9349750030885996</v>
      </c>
      <c r="P17" s="257">
        <f t="shared" si="10"/>
        <v>2.5703957827688648</v>
      </c>
      <c r="Q17" s="257">
        <f t="shared" si="10"/>
        <v>3.808903764981352</v>
      </c>
      <c r="R17" s="257">
        <f t="shared" si="10"/>
        <v>10.47128548050901</v>
      </c>
      <c r="S17" s="257">
        <f t="shared" si="10"/>
        <v>42.657951880159267</v>
      </c>
      <c r="T17" s="257">
        <f t="shared" si="10"/>
        <v>15.516722739072351</v>
      </c>
      <c r="U17" s="257">
        <f t="shared" si="10"/>
        <v>63.212068200526787</v>
      </c>
      <c r="V17" s="257">
        <f t="shared" si="10"/>
        <v>173.78008287493768</v>
      </c>
      <c r="W17" s="257">
        <f t="shared" si="10"/>
        <v>707.94578438413942</v>
      </c>
      <c r="X17" s="257">
        <f t="shared" si="10"/>
        <v>257.51349904103199</v>
      </c>
      <c r="Y17" s="258">
        <f t="shared" si="10"/>
        <v>2884.0315031266077</v>
      </c>
      <c r="Z17" s="49" t="s">
        <v>107</v>
      </c>
      <c r="AA17" s="50" t="s">
        <v>107</v>
      </c>
      <c r="AB17" s="244">
        <f>AB12</f>
        <v>345</v>
      </c>
    </row>
    <row r="18" spans="1:28">
      <c r="A18" s="107" t="s">
        <v>98</v>
      </c>
      <c r="B18" s="5" t="s">
        <v>95</v>
      </c>
      <c r="C18" s="28">
        <v>8</v>
      </c>
      <c r="D18" s="262">
        <f t="shared" ref="D18:Y18" si="11">IF(D$4&lt;$AB$18,10^(-1.6),10^(0.0088*D$4-4.73))</f>
        <v>2.511886431509578E-2</v>
      </c>
      <c r="E18" s="263">
        <f t="shared" si="11"/>
        <v>2.511886431509578E-2</v>
      </c>
      <c r="F18" s="263">
        <f t="shared" si="11"/>
        <v>2.511886431509578E-2</v>
      </c>
      <c r="G18" s="263">
        <f t="shared" si="11"/>
        <v>2.511886431509578E-2</v>
      </c>
      <c r="H18" s="263">
        <f t="shared" si="11"/>
        <v>2.511886431509578E-2</v>
      </c>
      <c r="I18" s="263">
        <f t="shared" si="11"/>
        <v>2.511886431509578E-2</v>
      </c>
      <c r="J18" s="263">
        <f t="shared" si="11"/>
        <v>6.1659500186148131E-2</v>
      </c>
      <c r="K18" s="263">
        <f t="shared" si="11"/>
        <v>0.10874267195462432</v>
      </c>
      <c r="L18" s="263">
        <f t="shared" si="11"/>
        <v>8.1884179190051157E-2</v>
      </c>
      <c r="M18" s="263">
        <f t="shared" si="11"/>
        <v>0.16982436524617442</v>
      </c>
      <c r="N18" s="263">
        <f t="shared" si="11"/>
        <v>0.45835291743818879</v>
      </c>
      <c r="O18" s="263">
        <f t="shared" si="11"/>
        <v>0.22552775667452485</v>
      </c>
      <c r="P18" s="263">
        <f t="shared" si="11"/>
        <v>0.46773514128719806</v>
      </c>
      <c r="Q18" s="263">
        <f t="shared" si="11"/>
        <v>0.62115502083244145</v>
      </c>
      <c r="R18" s="263">
        <f t="shared" si="11"/>
        <v>1.2882495516931323</v>
      </c>
      <c r="S18" s="263">
        <f t="shared" si="11"/>
        <v>3.5481338923357533</v>
      </c>
      <c r="T18" s="263">
        <f t="shared" si="11"/>
        <v>1.7108029875993289</v>
      </c>
      <c r="U18" s="263">
        <f t="shared" si="11"/>
        <v>4.7119426942027562</v>
      </c>
      <c r="V18" s="263">
        <f t="shared" si="11"/>
        <v>9.7723722095581138</v>
      </c>
      <c r="W18" s="263">
        <f t="shared" si="11"/>
        <v>26.915348039269148</v>
      </c>
      <c r="X18" s="263">
        <f t="shared" si="11"/>
        <v>12.977767816857815</v>
      </c>
      <c r="Y18" s="264">
        <f t="shared" si="11"/>
        <v>74.131024130091816</v>
      </c>
      <c r="Z18" s="48" t="s">
        <v>107</v>
      </c>
      <c r="AA18" s="47" t="s">
        <v>107</v>
      </c>
      <c r="AB18" s="244">
        <f>AB14</f>
        <v>365</v>
      </c>
    </row>
    <row r="19" spans="1:28">
      <c r="A19" s="106"/>
      <c r="B19" s="5" t="s">
        <v>96</v>
      </c>
      <c r="C19" s="28">
        <v>9</v>
      </c>
      <c r="D19" s="265">
        <f t="shared" ref="D19:Y19" si="12">IF(D$4&lt;$AB$19,10^(-1.2),10^(0.0125*D$4-5.58))</f>
        <v>6.3095734448019317E-2</v>
      </c>
      <c r="E19" s="266">
        <f t="shared" si="12"/>
        <v>6.3095734448019317E-2</v>
      </c>
      <c r="F19" s="266">
        <f t="shared" si="12"/>
        <v>6.3095734448019317E-2</v>
      </c>
      <c r="G19" s="266">
        <f t="shared" si="12"/>
        <v>6.3095734448019317E-2</v>
      </c>
      <c r="H19" s="266">
        <f t="shared" si="12"/>
        <v>6.2373483548241897E-2</v>
      </c>
      <c r="I19" s="266">
        <f t="shared" si="12"/>
        <v>9.3325430079699026E-2</v>
      </c>
      <c r="J19" s="266">
        <f t="shared" si="12"/>
        <v>0.26302679918953814</v>
      </c>
      <c r="K19" s="266">
        <f t="shared" si="12"/>
        <v>0.58884365535558947</v>
      </c>
      <c r="L19" s="266">
        <f t="shared" si="12"/>
        <v>0.39355007545577803</v>
      </c>
      <c r="M19" s="266">
        <f t="shared" si="12"/>
        <v>1.1091748152624008</v>
      </c>
      <c r="N19" s="266">
        <f t="shared" si="12"/>
        <v>4.5446453720950952</v>
      </c>
      <c r="O19" s="266">
        <f t="shared" si="12"/>
        <v>1.6595869074375633</v>
      </c>
      <c r="P19" s="266">
        <f t="shared" si="12"/>
        <v>4.6773514128719818</v>
      </c>
      <c r="Q19" s="266">
        <f t="shared" si="12"/>
        <v>6.9984199600227468</v>
      </c>
      <c r="R19" s="266">
        <f t="shared" si="12"/>
        <v>19.724227361148539</v>
      </c>
      <c r="S19" s="266">
        <f t="shared" si="12"/>
        <v>83.176377110267126</v>
      </c>
      <c r="T19" s="266">
        <f t="shared" si="12"/>
        <v>29.512092266663913</v>
      </c>
      <c r="U19" s="266">
        <f t="shared" si="12"/>
        <v>124.45146117713878</v>
      </c>
      <c r="V19" s="266">
        <f t="shared" si="12"/>
        <v>350.75187395256819</v>
      </c>
      <c r="W19" s="266">
        <f t="shared" si="12"/>
        <v>1479.1083881682086</v>
      </c>
      <c r="X19" s="266">
        <f t="shared" si="12"/>
        <v>524.80746024977384</v>
      </c>
      <c r="Y19" s="267">
        <f t="shared" si="12"/>
        <v>6237.3483548241993</v>
      </c>
      <c r="Z19" s="48" t="s">
        <v>107</v>
      </c>
      <c r="AA19" s="47" t="s">
        <v>107</v>
      </c>
      <c r="AB19" s="244">
        <f>AB15</f>
        <v>345</v>
      </c>
    </row>
    <row r="20" spans="1:28">
      <c r="A20" s="108"/>
      <c r="B20" s="5" t="s">
        <v>110</v>
      </c>
      <c r="C20" s="28">
        <v>10</v>
      </c>
      <c r="D20" s="253">
        <f t="shared" ref="D20:Y20" si="13">IF(D$4&lt;$AB$20,10^(-1.4),10^(0.0122*D$4-5.69))</f>
        <v>3.9810717055349727E-2</v>
      </c>
      <c r="E20" s="254">
        <f t="shared" si="13"/>
        <v>3.9810717055349727E-2</v>
      </c>
      <c r="F20" s="254">
        <f t="shared" si="13"/>
        <v>3.9810717055349727E-2</v>
      </c>
      <c r="G20" s="254">
        <f t="shared" si="13"/>
        <v>3.9810717055349727E-2</v>
      </c>
      <c r="H20" s="254">
        <f t="shared" si="13"/>
        <v>3.801893963205611E-2</v>
      </c>
      <c r="I20" s="254">
        <f t="shared" si="13"/>
        <v>5.633781508509382E-2</v>
      </c>
      <c r="J20" s="254">
        <f t="shared" si="13"/>
        <v>0.15488166189124791</v>
      </c>
      <c r="K20" s="254">
        <f t="shared" si="13"/>
        <v>0.34009480651219093</v>
      </c>
      <c r="L20" s="254">
        <f t="shared" si="13"/>
        <v>0.22950914760242272</v>
      </c>
      <c r="M20" s="254">
        <f t="shared" si="13"/>
        <v>0.63095734448019292</v>
      </c>
      <c r="N20" s="254">
        <f t="shared" si="13"/>
        <v>2.4991941751958291</v>
      </c>
      <c r="O20" s="254">
        <f t="shared" si="13"/>
        <v>0.9349750030885996</v>
      </c>
      <c r="P20" s="254">
        <f t="shared" si="13"/>
        <v>2.5703957827688648</v>
      </c>
      <c r="Q20" s="254">
        <f t="shared" si="13"/>
        <v>3.808903764981352</v>
      </c>
      <c r="R20" s="254">
        <f t="shared" si="13"/>
        <v>10.47128548050901</v>
      </c>
      <c r="S20" s="254">
        <f t="shared" si="13"/>
        <v>42.657951880159267</v>
      </c>
      <c r="T20" s="254">
        <f t="shared" si="13"/>
        <v>15.516722739072351</v>
      </c>
      <c r="U20" s="254">
        <f t="shared" si="13"/>
        <v>63.212068200526787</v>
      </c>
      <c r="V20" s="254">
        <f t="shared" si="13"/>
        <v>173.78008287493768</v>
      </c>
      <c r="W20" s="254">
        <f t="shared" si="13"/>
        <v>707.94578438413942</v>
      </c>
      <c r="X20" s="254">
        <f t="shared" si="13"/>
        <v>257.51349904103199</v>
      </c>
      <c r="Y20" s="255">
        <f t="shared" si="13"/>
        <v>2884.0315031266077</v>
      </c>
      <c r="Z20" s="48" t="s">
        <v>107</v>
      </c>
      <c r="AA20" s="47" t="s">
        <v>107</v>
      </c>
      <c r="AB20" s="244">
        <f>AB17</f>
        <v>345</v>
      </c>
    </row>
    <row r="21" spans="1:28">
      <c r="A21" s="106"/>
      <c r="B21" s="5" t="s">
        <v>101</v>
      </c>
      <c r="C21" s="28">
        <v>11</v>
      </c>
      <c r="D21" s="268">
        <f t="shared" ref="D21:Y21" si="14">IF(D$4&lt;$AB$21,10^(-1.2),10^(0.0109*D$4-5.68))</f>
        <v>6.3095734448019317E-2</v>
      </c>
      <c r="E21" s="269">
        <f t="shared" si="14"/>
        <v>6.3095734448019317E-2</v>
      </c>
      <c r="F21" s="269">
        <f t="shared" si="14"/>
        <v>6.3095734448019317E-2</v>
      </c>
      <c r="G21" s="269">
        <f t="shared" si="14"/>
        <v>6.3095734448019317E-2</v>
      </c>
      <c r="H21" s="269">
        <f t="shared" si="14"/>
        <v>6.3095734448019317E-2</v>
      </c>
      <c r="I21" s="269">
        <f t="shared" si="14"/>
        <v>6.3095734448019317E-2</v>
      </c>
      <c r="J21" s="269">
        <f t="shared" si="14"/>
        <v>6.3095734448019317E-2</v>
      </c>
      <c r="K21" s="269">
        <f t="shared" si="14"/>
        <v>9.6649586431421339E-2</v>
      </c>
      <c r="L21" s="269">
        <f t="shared" si="14"/>
        <v>6.8014263560385646E-2</v>
      </c>
      <c r="M21" s="269">
        <f t="shared" si="14"/>
        <v>0.16788040181225619</v>
      </c>
      <c r="N21" s="269">
        <f t="shared" si="14"/>
        <v>0.57424867262878299</v>
      </c>
      <c r="O21" s="269">
        <f t="shared" si="14"/>
        <v>0.23856130399309131</v>
      </c>
      <c r="P21" s="269">
        <f t="shared" si="14"/>
        <v>0.58884365535558947</v>
      </c>
      <c r="Q21" s="269">
        <f t="shared" si="14"/>
        <v>0.83675824428145018</v>
      </c>
      <c r="R21" s="269">
        <f t="shared" si="14"/>
        <v>2.0653801558105314</v>
      </c>
      <c r="S21" s="269">
        <f t="shared" si="14"/>
        <v>7.2443596007499069</v>
      </c>
      <c r="T21" s="269">
        <f t="shared" si="14"/>
        <v>2.9349452222697927</v>
      </c>
      <c r="U21" s="269">
        <f t="shared" si="14"/>
        <v>10.294375366592661</v>
      </c>
      <c r="V21" s="269">
        <f t="shared" si="14"/>
        <v>25.409727055493072</v>
      </c>
      <c r="W21" s="269">
        <f t="shared" si="14"/>
        <v>89.125093813374633</v>
      </c>
      <c r="X21" s="269">
        <f t="shared" si="14"/>
        <v>36.107714510035294</v>
      </c>
      <c r="Y21" s="270">
        <f t="shared" si="14"/>
        <v>312.60793671239639</v>
      </c>
      <c r="Z21" s="48" t="s">
        <v>107</v>
      </c>
      <c r="AA21" s="47" t="s">
        <v>107</v>
      </c>
      <c r="AB21" s="244">
        <f>AB16</f>
        <v>410</v>
      </c>
    </row>
    <row r="22" spans="1:28">
      <c r="A22" s="106"/>
      <c r="B22" s="11" t="s">
        <v>121</v>
      </c>
      <c r="C22" s="29">
        <v>12</v>
      </c>
      <c r="D22" s="271">
        <f t="shared" ref="D22:Y22" si="15">IF(D$4&lt;$AB$22,10^(-1.2),10^(0.0109*D$4-5.68))</f>
        <v>6.3095734448019317E-2</v>
      </c>
      <c r="E22" s="272">
        <f t="shared" si="15"/>
        <v>6.3095734448019317E-2</v>
      </c>
      <c r="F22" s="272">
        <f t="shared" si="15"/>
        <v>6.3095734448019317E-2</v>
      </c>
      <c r="G22" s="272">
        <f t="shared" si="15"/>
        <v>6.3095734448019317E-2</v>
      </c>
      <c r="H22" s="272">
        <f t="shared" si="15"/>
        <v>6.3095734448019317E-2</v>
      </c>
      <c r="I22" s="272">
        <f t="shared" si="15"/>
        <v>6.3095734448019317E-2</v>
      </c>
      <c r="J22" s="272">
        <f t="shared" si="15"/>
        <v>6.3095734448019317E-2</v>
      </c>
      <c r="K22" s="272">
        <f t="shared" si="15"/>
        <v>9.6649586431421339E-2</v>
      </c>
      <c r="L22" s="272">
        <f t="shared" si="15"/>
        <v>6.8014263560385646E-2</v>
      </c>
      <c r="M22" s="272">
        <f t="shared" si="15"/>
        <v>0.16788040181225619</v>
      </c>
      <c r="N22" s="272">
        <f t="shared" si="15"/>
        <v>0.57424867262878299</v>
      </c>
      <c r="O22" s="272">
        <f t="shared" si="15"/>
        <v>0.23856130399309131</v>
      </c>
      <c r="P22" s="272">
        <f t="shared" si="15"/>
        <v>0.58884365535558947</v>
      </c>
      <c r="Q22" s="272">
        <f t="shared" si="15"/>
        <v>0.83675824428145018</v>
      </c>
      <c r="R22" s="272">
        <f t="shared" si="15"/>
        <v>2.0653801558105314</v>
      </c>
      <c r="S22" s="272">
        <f t="shared" si="15"/>
        <v>7.2443596007499069</v>
      </c>
      <c r="T22" s="272">
        <f t="shared" si="15"/>
        <v>2.9349452222697927</v>
      </c>
      <c r="U22" s="272">
        <f t="shared" si="15"/>
        <v>10.294375366592661</v>
      </c>
      <c r="V22" s="272">
        <f t="shared" si="15"/>
        <v>25.409727055493072</v>
      </c>
      <c r="W22" s="272">
        <f t="shared" si="15"/>
        <v>89.125093813374633</v>
      </c>
      <c r="X22" s="272">
        <f t="shared" si="15"/>
        <v>36.107714510035294</v>
      </c>
      <c r="Y22" s="273">
        <f t="shared" si="15"/>
        <v>312.60793671239639</v>
      </c>
      <c r="Z22" s="49" t="s">
        <v>107</v>
      </c>
      <c r="AA22" s="50" t="s">
        <v>107</v>
      </c>
      <c r="AB22" s="244">
        <f>AB16</f>
        <v>410</v>
      </c>
    </row>
    <row r="23" spans="1:28">
      <c r="A23" s="2"/>
      <c r="B23" s="2"/>
      <c r="C23" s="2"/>
      <c r="D23" s="8"/>
      <c r="E23" s="8"/>
      <c r="F23" s="8"/>
      <c r="G23" s="2"/>
      <c r="H23" s="2"/>
      <c r="I23" s="2"/>
      <c r="J23" s="2"/>
      <c r="K23" s="2"/>
      <c r="L23" s="2"/>
      <c r="M23" s="2"/>
      <c r="N23" s="2"/>
      <c r="O23" s="2"/>
      <c r="P23" s="2"/>
      <c r="Q23" s="2"/>
      <c r="R23" s="2"/>
      <c r="S23" s="2"/>
      <c r="T23" s="2"/>
      <c r="U23" s="2"/>
      <c r="V23" s="2"/>
      <c r="W23" s="2"/>
      <c r="X23" s="2"/>
      <c r="Y23" s="2"/>
      <c r="Z23" s="2"/>
      <c r="AA23" s="2"/>
      <c r="AB23" s="2"/>
    </row>
    <row r="24" spans="1:28" ht="18">
      <c r="A24" s="2"/>
      <c r="B24" s="39" t="s">
        <v>132</v>
      </c>
      <c r="C24" s="23" t="s">
        <v>111</v>
      </c>
      <c r="D24" s="13" t="s">
        <v>10</v>
      </c>
      <c r="E24" s="16" t="s">
        <v>28</v>
      </c>
      <c r="F24" s="16" t="s">
        <v>11</v>
      </c>
      <c r="G24" s="16" t="s">
        <v>12</v>
      </c>
      <c r="H24" s="16" t="s">
        <v>33</v>
      </c>
      <c r="I24" s="16" t="s">
        <v>14</v>
      </c>
      <c r="J24" s="224" t="s">
        <v>13</v>
      </c>
      <c r="K24" s="16" t="s">
        <v>61</v>
      </c>
      <c r="L24" s="224" t="s">
        <v>7</v>
      </c>
      <c r="M24" s="16" t="s">
        <v>31</v>
      </c>
      <c r="N24" s="16" t="s">
        <v>30</v>
      </c>
      <c r="O24" s="224" t="s">
        <v>15</v>
      </c>
      <c r="P24" s="224" t="s">
        <v>0</v>
      </c>
      <c r="Q24" s="16" t="s">
        <v>34</v>
      </c>
      <c r="R24" s="16" t="s">
        <v>27</v>
      </c>
      <c r="S24" s="16" t="s">
        <v>29</v>
      </c>
      <c r="T24" s="16" t="s">
        <v>32</v>
      </c>
      <c r="U24" s="16" t="s">
        <v>35</v>
      </c>
      <c r="V24" s="16" t="s">
        <v>37</v>
      </c>
      <c r="W24" s="16" t="s">
        <v>38</v>
      </c>
      <c r="X24" s="16" t="s">
        <v>36</v>
      </c>
      <c r="Y24" s="14" t="s">
        <v>39</v>
      </c>
      <c r="Z24" s="247" t="s">
        <v>406</v>
      </c>
      <c r="AA24" s="14" t="s">
        <v>407</v>
      </c>
      <c r="AB24" s="2"/>
    </row>
    <row r="25" spans="1:28">
      <c r="A25" s="2"/>
      <c r="B25" s="22"/>
      <c r="C25" s="32" t="s">
        <v>116</v>
      </c>
      <c r="D25" s="33">
        <v>3</v>
      </c>
      <c r="E25" s="4">
        <v>4</v>
      </c>
      <c r="F25" s="4">
        <v>4</v>
      </c>
      <c r="G25" s="4">
        <v>5</v>
      </c>
      <c r="H25" s="4">
        <v>5</v>
      </c>
      <c r="I25" s="4">
        <v>6</v>
      </c>
      <c r="J25" s="4">
        <v>6</v>
      </c>
      <c r="K25" s="4">
        <v>6</v>
      </c>
      <c r="L25" s="4">
        <v>7</v>
      </c>
      <c r="M25" s="4">
        <v>7</v>
      </c>
      <c r="N25" s="4">
        <v>8</v>
      </c>
      <c r="O25" s="4">
        <v>8</v>
      </c>
      <c r="P25" s="4">
        <v>8</v>
      </c>
      <c r="Q25" s="4">
        <v>9</v>
      </c>
      <c r="R25" s="4">
        <v>9</v>
      </c>
      <c r="S25" s="4">
        <v>10</v>
      </c>
      <c r="T25" s="4">
        <v>10</v>
      </c>
      <c r="U25" s="4">
        <v>11</v>
      </c>
      <c r="V25" s="4">
        <v>11</v>
      </c>
      <c r="W25" s="4">
        <v>12</v>
      </c>
      <c r="X25" s="4">
        <v>12</v>
      </c>
      <c r="Y25" s="4">
        <v>13</v>
      </c>
      <c r="Z25" s="33" t="s">
        <v>107</v>
      </c>
      <c r="AA25" s="109" t="s">
        <v>107</v>
      </c>
      <c r="AB25" s="2"/>
    </row>
    <row r="26" spans="1:28">
      <c r="A26" s="105" t="s">
        <v>97</v>
      </c>
      <c r="B26" s="19" t="s">
        <v>187</v>
      </c>
      <c r="C26" s="137">
        <v>1</v>
      </c>
      <c r="D26" s="248">
        <f t="shared" ref="D26:Y26" si="16">IF(D$4&lt;$AB$11,0.1,10^(0.0149*D$4-6.32+0.5))</f>
        <v>0.1</v>
      </c>
      <c r="E26" s="252">
        <f t="shared" si="16"/>
        <v>0.1</v>
      </c>
      <c r="F26" s="252">
        <f t="shared" si="16"/>
        <v>0.1</v>
      </c>
      <c r="G26" s="252">
        <f t="shared" si="16"/>
        <v>0.1</v>
      </c>
      <c r="H26" s="252">
        <f t="shared" si="16"/>
        <v>0.24831331052955677</v>
      </c>
      <c r="I26" s="252">
        <f t="shared" si="16"/>
        <v>0.4014209182043213</v>
      </c>
      <c r="J26" s="252">
        <f t="shared" si="16"/>
        <v>1.3803842646028839</v>
      </c>
      <c r="K26" s="252">
        <f t="shared" si="16"/>
        <v>3.6074473386419164</v>
      </c>
      <c r="L26" s="252">
        <f t="shared" si="16"/>
        <v>2.2315159738717627</v>
      </c>
      <c r="M26" s="252">
        <f t="shared" si="16"/>
        <v>7.6736148936181863</v>
      </c>
      <c r="N26" s="252">
        <f t="shared" si="16"/>
        <v>41.219241898309747</v>
      </c>
      <c r="O26" s="252">
        <f t="shared" si="16"/>
        <v>12.405092300422243</v>
      </c>
      <c r="P26" s="252">
        <f t="shared" si="16"/>
        <v>42.657951880159267</v>
      </c>
      <c r="Q26" s="252">
        <f t="shared" si="16"/>
        <v>68.960436216370297</v>
      </c>
      <c r="R26" s="252">
        <f t="shared" si="16"/>
        <v>237.13737056616563</v>
      </c>
      <c r="S26" s="252">
        <f t="shared" si="16"/>
        <v>1318.2567385564053</v>
      </c>
      <c r="T26" s="252">
        <f t="shared" si="16"/>
        <v>383.35400075904471</v>
      </c>
      <c r="U26" s="252">
        <f t="shared" si="16"/>
        <v>2131.0812106359408</v>
      </c>
      <c r="V26" s="252">
        <f t="shared" si="16"/>
        <v>7328.2453313890564</v>
      </c>
      <c r="W26" s="252">
        <f t="shared" si="16"/>
        <v>40738.027780411285</v>
      </c>
      <c r="X26" s="252">
        <f t="shared" si="16"/>
        <v>11846.771175814842</v>
      </c>
      <c r="Y26" s="252">
        <f t="shared" si="16"/>
        <v>226464.43075930644</v>
      </c>
      <c r="Z26" s="48" t="s">
        <v>107</v>
      </c>
      <c r="AA26" s="47" t="s">
        <v>107</v>
      </c>
      <c r="AB26" s="2"/>
    </row>
    <row r="27" spans="1:28">
      <c r="A27" s="106"/>
      <c r="B27" s="20" t="s">
        <v>102</v>
      </c>
      <c r="C27" s="34">
        <v>2</v>
      </c>
      <c r="D27" s="253">
        <f t="shared" ref="D27:Y27" si="17">IF(D$4&lt;$AB$12,0.1,10^(0.0122*D$4-5.69+0.5))</f>
        <v>0.1</v>
      </c>
      <c r="E27" s="254">
        <f t="shared" si="17"/>
        <v>0.1</v>
      </c>
      <c r="F27" s="254">
        <f t="shared" si="17"/>
        <v>0.1</v>
      </c>
      <c r="G27" s="254">
        <f t="shared" si="17"/>
        <v>0.1</v>
      </c>
      <c r="H27" s="254">
        <f t="shared" si="17"/>
        <v>0.12022644346174129</v>
      </c>
      <c r="I27" s="254">
        <f t="shared" si="17"/>
        <v>0.1781558140662893</v>
      </c>
      <c r="J27" s="254">
        <f t="shared" si="17"/>
        <v>0.48977881936844558</v>
      </c>
      <c r="K27" s="254">
        <f t="shared" si="17"/>
        <v>1.0754742089727889</v>
      </c>
      <c r="L27" s="254">
        <f t="shared" si="17"/>
        <v>0.72577165026742851</v>
      </c>
      <c r="M27" s="254">
        <f t="shared" si="17"/>
        <v>1.9952623149688791</v>
      </c>
      <c r="N27" s="254">
        <f t="shared" si="17"/>
        <v>7.90314590864471</v>
      </c>
      <c r="O27" s="254">
        <f t="shared" si="17"/>
        <v>2.9566505650829407</v>
      </c>
      <c r="P27" s="254">
        <f t="shared" si="17"/>
        <v>8.1283051616409985</v>
      </c>
      <c r="Q27" s="254">
        <f t="shared" si="17"/>
        <v>12.044811285731759</v>
      </c>
      <c r="R27" s="254">
        <f t="shared" si="17"/>
        <v>33.113112148259155</v>
      </c>
      <c r="S27" s="254">
        <f t="shared" si="17"/>
        <v>134.89628825916537</v>
      </c>
      <c r="T27" s="254">
        <f t="shared" si="17"/>
        <v>49.068185676795203</v>
      </c>
      <c r="U27" s="254">
        <f t="shared" si="17"/>
        <v>199.89411112356598</v>
      </c>
      <c r="V27" s="254">
        <f t="shared" si="17"/>
        <v>549.54087385762534</v>
      </c>
      <c r="W27" s="254">
        <f t="shared" si="17"/>
        <v>2238.7211385683436</v>
      </c>
      <c r="X27" s="254">
        <f t="shared" si="17"/>
        <v>814.32918520924738</v>
      </c>
      <c r="Y27" s="255">
        <f t="shared" si="17"/>
        <v>9120.1083935591087</v>
      </c>
      <c r="Z27" s="48" t="s">
        <v>107</v>
      </c>
      <c r="AA27" s="47" t="s">
        <v>107</v>
      </c>
      <c r="AB27" s="2"/>
    </row>
    <row r="28" spans="1:28">
      <c r="A28" s="106"/>
      <c r="B28" s="20" t="s">
        <v>186</v>
      </c>
      <c r="C28" s="34">
        <v>3</v>
      </c>
      <c r="D28" s="249">
        <f t="shared" ref="D28:Y28" si="18">IF(D$4&lt;$AB$13,0.1,10^(0.0149*D$4-6.32+0.5))</f>
        <v>0.1</v>
      </c>
      <c r="E28" s="250">
        <f t="shared" si="18"/>
        <v>0.1</v>
      </c>
      <c r="F28" s="250">
        <f t="shared" si="18"/>
        <v>0.1</v>
      </c>
      <c r="G28" s="250">
        <f t="shared" si="18"/>
        <v>0.1</v>
      </c>
      <c r="H28" s="250">
        <f t="shared" si="18"/>
        <v>0.24831331052955677</v>
      </c>
      <c r="I28" s="250">
        <f t="shared" si="18"/>
        <v>0.4014209182043213</v>
      </c>
      <c r="J28" s="250">
        <f t="shared" si="18"/>
        <v>1.3803842646028839</v>
      </c>
      <c r="K28" s="250">
        <f t="shared" si="18"/>
        <v>3.6074473386419164</v>
      </c>
      <c r="L28" s="250">
        <f t="shared" si="18"/>
        <v>2.2315159738717627</v>
      </c>
      <c r="M28" s="250">
        <f t="shared" si="18"/>
        <v>7.6736148936181863</v>
      </c>
      <c r="N28" s="250">
        <f t="shared" si="18"/>
        <v>41.219241898309747</v>
      </c>
      <c r="O28" s="250">
        <f t="shared" si="18"/>
        <v>12.405092300422243</v>
      </c>
      <c r="P28" s="250">
        <f t="shared" si="18"/>
        <v>42.657951880159267</v>
      </c>
      <c r="Q28" s="250">
        <f t="shared" si="18"/>
        <v>68.960436216370297</v>
      </c>
      <c r="R28" s="250">
        <f t="shared" si="18"/>
        <v>237.13737056616563</v>
      </c>
      <c r="S28" s="250">
        <f t="shared" si="18"/>
        <v>1318.2567385564053</v>
      </c>
      <c r="T28" s="250">
        <f t="shared" si="18"/>
        <v>383.35400075904471</v>
      </c>
      <c r="U28" s="250">
        <f t="shared" si="18"/>
        <v>2131.0812106359408</v>
      </c>
      <c r="V28" s="250">
        <f t="shared" si="18"/>
        <v>7328.2453313890564</v>
      </c>
      <c r="W28" s="250">
        <f t="shared" si="18"/>
        <v>40738.027780411285</v>
      </c>
      <c r="X28" s="250">
        <f t="shared" si="18"/>
        <v>11846.771175814842</v>
      </c>
      <c r="Y28" s="251">
        <f t="shared" si="18"/>
        <v>226464.43075930644</v>
      </c>
      <c r="Z28" s="48" t="s">
        <v>107</v>
      </c>
      <c r="AA28" s="47" t="s">
        <v>107</v>
      </c>
      <c r="AB28" s="2"/>
    </row>
    <row r="29" spans="1:28">
      <c r="A29" s="106"/>
      <c r="B29" s="20" t="s">
        <v>93</v>
      </c>
      <c r="C29" s="34">
        <v>4</v>
      </c>
      <c r="D29" s="259">
        <f t="shared" ref="D29:Y29" si="19">IF(D$4&lt;$AB$14,0.1,10^(0.0088*D$4-4.73+0.8))</f>
        <v>0.1</v>
      </c>
      <c r="E29" s="260">
        <f t="shared" si="19"/>
        <v>0.1</v>
      </c>
      <c r="F29" s="260">
        <f t="shared" si="19"/>
        <v>0.1</v>
      </c>
      <c r="G29" s="260">
        <f t="shared" si="19"/>
        <v>0.1</v>
      </c>
      <c r="H29" s="260">
        <f t="shared" si="19"/>
        <v>0.1</v>
      </c>
      <c r="I29" s="260">
        <f t="shared" si="19"/>
        <v>0.1</v>
      </c>
      <c r="J29" s="260">
        <f t="shared" si="19"/>
        <v>0.38904514499428022</v>
      </c>
      <c r="K29" s="260">
        <f t="shared" si="19"/>
        <v>0.68611987528170582</v>
      </c>
      <c r="L29" s="260">
        <f t="shared" si="19"/>
        <v>0.51665424256694992</v>
      </c>
      <c r="M29" s="260">
        <f t="shared" si="19"/>
        <v>1.0715193052376064</v>
      </c>
      <c r="N29" s="260">
        <f t="shared" si="19"/>
        <v>2.892011396215489</v>
      </c>
      <c r="O29" s="260">
        <f t="shared" si="19"/>
        <v>1.4229839445793344</v>
      </c>
      <c r="P29" s="260">
        <f t="shared" si="19"/>
        <v>2.9512092266663856</v>
      </c>
      <c r="Q29" s="260">
        <f t="shared" si="19"/>
        <v>3.9192232245497651</v>
      </c>
      <c r="R29" s="260">
        <f t="shared" si="19"/>
        <v>8.1283051616409825</v>
      </c>
      <c r="S29" s="260">
        <f t="shared" si="19"/>
        <v>22.387211385683397</v>
      </c>
      <c r="T29" s="260">
        <f t="shared" si="19"/>
        <v>10.794437099844536</v>
      </c>
      <c r="U29" s="260">
        <f t="shared" si="19"/>
        <v>29.730348496770183</v>
      </c>
      <c r="V29" s="260">
        <f t="shared" si="19"/>
        <v>61.659500186148257</v>
      </c>
      <c r="W29" s="260">
        <f t="shared" si="19"/>
        <v>169.8243652461743</v>
      </c>
      <c r="X29" s="260">
        <f t="shared" si="19"/>
        <v>81.884179190051285</v>
      </c>
      <c r="Y29" s="261">
        <f t="shared" si="19"/>
        <v>467.7351412871983</v>
      </c>
      <c r="Z29" s="48" t="s">
        <v>107</v>
      </c>
      <c r="AA29" s="47" t="s">
        <v>107</v>
      </c>
      <c r="AB29" s="2"/>
    </row>
    <row r="30" spans="1:28">
      <c r="A30" s="106"/>
      <c r="B30" s="20" t="s">
        <v>94</v>
      </c>
      <c r="C30" s="34">
        <v>5</v>
      </c>
      <c r="D30" s="265">
        <f t="shared" ref="D30:Y30" si="20">IF(D$4&lt;$AB$15,0.1,10^(0.0125*D$4-5.58+0.7))</f>
        <v>0.1</v>
      </c>
      <c r="E30" s="266">
        <f t="shared" si="20"/>
        <v>0.1</v>
      </c>
      <c r="F30" s="266">
        <f t="shared" si="20"/>
        <v>0.1</v>
      </c>
      <c r="G30" s="266">
        <f t="shared" si="20"/>
        <v>0.1</v>
      </c>
      <c r="H30" s="266">
        <f t="shared" si="20"/>
        <v>0.3126079367123954</v>
      </c>
      <c r="I30" s="266">
        <f t="shared" si="20"/>
        <v>0.4677351412871979</v>
      </c>
      <c r="J30" s="266">
        <f t="shared" si="20"/>
        <v>1.3182567385564068</v>
      </c>
      <c r="K30" s="266">
        <f t="shared" si="20"/>
        <v>2.9512092266663887</v>
      </c>
      <c r="L30" s="266">
        <f t="shared" si="20"/>
        <v>1.9724227361148565</v>
      </c>
      <c r="M30" s="266">
        <f t="shared" si="20"/>
        <v>5.559042572704036</v>
      </c>
      <c r="N30" s="266">
        <f t="shared" si="20"/>
        <v>22.777182418573261</v>
      </c>
      <c r="O30" s="266">
        <f t="shared" si="20"/>
        <v>8.3176377110267214</v>
      </c>
      <c r="P30" s="266">
        <f t="shared" si="20"/>
        <v>23.442288153199225</v>
      </c>
      <c r="Q30" s="266">
        <f t="shared" si="20"/>
        <v>35.075187395256862</v>
      </c>
      <c r="R30" s="266">
        <f t="shared" si="20"/>
        <v>98.855309465693935</v>
      </c>
      <c r="S30" s="266">
        <f t="shared" si="20"/>
        <v>416.86938347033572</v>
      </c>
      <c r="T30" s="266">
        <f t="shared" si="20"/>
        <v>147.9108388168211</v>
      </c>
      <c r="U30" s="266">
        <f t="shared" si="20"/>
        <v>623.73483548242086</v>
      </c>
      <c r="V30" s="266">
        <f t="shared" si="20"/>
        <v>1757.9236139586944</v>
      </c>
      <c r="W30" s="266">
        <f t="shared" si="20"/>
        <v>7413.1024130091773</v>
      </c>
      <c r="X30" s="266">
        <f t="shared" si="20"/>
        <v>2630.2679918953895</v>
      </c>
      <c r="Y30" s="267">
        <f t="shared" si="20"/>
        <v>31260.793671239597</v>
      </c>
      <c r="Z30" s="48" t="s">
        <v>107</v>
      </c>
      <c r="AA30" s="47" t="s">
        <v>107</v>
      </c>
      <c r="AB30" s="2"/>
    </row>
    <row r="31" spans="1:28">
      <c r="A31" s="106"/>
      <c r="B31" s="20" t="s">
        <v>158</v>
      </c>
      <c r="C31" s="34">
        <v>6</v>
      </c>
      <c r="D31" s="268">
        <f t="shared" ref="D31:Y31" si="21">IF(D$4&lt;$AB$16,0.1,10^(0.0109*D$4-5.68+0.5))</f>
        <v>0.1</v>
      </c>
      <c r="E31" s="269">
        <f t="shared" si="21"/>
        <v>0.1</v>
      </c>
      <c r="F31" s="269">
        <f t="shared" si="21"/>
        <v>0.1</v>
      </c>
      <c r="G31" s="269">
        <f t="shared" si="21"/>
        <v>0.1</v>
      </c>
      <c r="H31" s="269">
        <f t="shared" si="21"/>
        <v>0.1</v>
      </c>
      <c r="I31" s="269">
        <f t="shared" si="21"/>
        <v>0.1</v>
      </c>
      <c r="J31" s="269">
        <f t="shared" si="21"/>
        <v>0.1</v>
      </c>
      <c r="K31" s="269">
        <f t="shared" si="21"/>
        <v>0.30563282803659658</v>
      </c>
      <c r="L31" s="269">
        <f t="shared" si="21"/>
        <v>0.21507998622981186</v>
      </c>
      <c r="M31" s="269">
        <f t="shared" si="21"/>
        <v>0.53088444423098902</v>
      </c>
      <c r="N31" s="269">
        <f t="shared" si="21"/>
        <v>1.8159337488353455</v>
      </c>
      <c r="O31" s="269">
        <f t="shared" si="21"/>
        <v>0.75439708219799029</v>
      </c>
      <c r="P31" s="269">
        <f t="shared" si="21"/>
        <v>1.8620871366628695</v>
      </c>
      <c r="Q31" s="269">
        <f t="shared" si="21"/>
        <v>2.6460619028529457</v>
      </c>
      <c r="R31" s="269">
        <f t="shared" si="21"/>
        <v>6.5313055264747311</v>
      </c>
      <c r="S31" s="269">
        <f t="shared" si="21"/>
        <v>22.908676527677759</v>
      </c>
      <c r="T31" s="269">
        <f t="shared" si="21"/>
        <v>9.2811117102016851</v>
      </c>
      <c r="U31" s="269">
        <f t="shared" si="21"/>
        <v>32.553673247163644</v>
      </c>
      <c r="V31" s="269">
        <f t="shared" si="21"/>
        <v>80.352612218561831</v>
      </c>
      <c r="W31" s="269">
        <f t="shared" si="21"/>
        <v>281.83829312644554</v>
      </c>
      <c r="X31" s="269">
        <f t="shared" si="21"/>
        <v>114.18261895482225</v>
      </c>
      <c r="Y31" s="270">
        <f t="shared" si="21"/>
        <v>988.55309465694222</v>
      </c>
      <c r="Z31" s="48" t="s">
        <v>107</v>
      </c>
      <c r="AA31" s="47" t="s">
        <v>107</v>
      </c>
      <c r="AB31" s="2"/>
    </row>
    <row r="32" spans="1:28">
      <c r="A32" s="106"/>
      <c r="B32" s="18" t="s">
        <v>109</v>
      </c>
      <c r="C32" s="35">
        <v>7</v>
      </c>
      <c r="D32" s="256">
        <f t="shared" ref="D32:Y32" si="22">IF(D$4&lt;$AB$17,0.1,10^(0.0122*D$4-5.69+0.5))</f>
        <v>0.1</v>
      </c>
      <c r="E32" s="257">
        <f t="shared" si="22"/>
        <v>0.1</v>
      </c>
      <c r="F32" s="257">
        <f t="shared" si="22"/>
        <v>0.1</v>
      </c>
      <c r="G32" s="257">
        <f t="shared" si="22"/>
        <v>0.1</v>
      </c>
      <c r="H32" s="257">
        <f t="shared" si="22"/>
        <v>0.12022644346174129</v>
      </c>
      <c r="I32" s="257">
        <f t="shared" si="22"/>
        <v>0.1781558140662893</v>
      </c>
      <c r="J32" s="257">
        <f t="shared" si="22"/>
        <v>0.48977881936844558</v>
      </c>
      <c r="K32" s="257">
        <f t="shared" si="22"/>
        <v>1.0754742089727889</v>
      </c>
      <c r="L32" s="257">
        <f t="shared" si="22"/>
        <v>0.72577165026742851</v>
      </c>
      <c r="M32" s="257">
        <f t="shared" si="22"/>
        <v>1.9952623149688791</v>
      </c>
      <c r="N32" s="257">
        <f t="shared" si="22"/>
        <v>7.90314590864471</v>
      </c>
      <c r="O32" s="257">
        <f t="shared" si="22"/>
        <v>2.9566505650829407</v>
      </c>
      <c r="P32" s="257">
        <f t="shared" si="22"/>
        <v>8.1283051616409985</v>
      </c>
      <c r="Q32" s="257">
        <f t="shared" si="22"/>
        <v>12.044811285731759</v>
      </c>
      <c r="R32" s="257">
        <f t="shared" si="22"/>
        <v>33.113112148259155</v>
      </c>
      <c r="S32" s="257">
        <f t="shared" si="22"/>
        <v>134.89628825916537</v>
      </c>
      <c r="T32" s="257">
        <f t="shared" si="22"/>
        <v>49.068185676795203</v>
      </c>
      <c r="U32" s="257">
        <f t="shared" si="22"/>
        <v>199.89411112356598</v>
      </c>
      <c r="V32" s="257">
        <f t="shared" si="22"/>
        <v>549.54087385762534</v>
      </c>
      <c r="W32" s="257">
        <f t="shared" si="22"/>
        <v>2238.7211385683436</v>
      </c>
      <c r="X32" s="257">
        <f t="shared" si="22"/>
        <v>814.32918520924738</v>
      </c>
      <c r="Y32" s="258">
        <f t="shared" si="22"/>
        <v>9120.1083935591087</v>
      </c>
      <c r="Z32" s="49" t="s">
        <v>107</v>
      </c>
      <c r="AA32" s="50" t="s">
        <v>107</v>
      </c>
      <c r="AB32" s="2"/>
    </row>
    <row r="33" spans="1:28">
      <c r="A33" s="107" t="s">
        <v>98</v>
      </c>
      <c r="B33" s="5" t="s">
        <v>95</v>
      </c>
      <c r="C33" s="28">
        <v>8</v>
      </c>
      <c r="D33" s="262">
        <f t="shared" ref="D33:Y33" si="23">IF(D$4&lt;$AB$18,0.1,10^(0.0088*D$4-4.73+0.8))</f>
        <v>0.1</v>
      </c>
      <c r="E33" s="263">
        <f t="shared" si="23"/>
        <v>0.1</v>
      </c>
      <c r="F33" s="263">
        <f t="shared" si="23"/>
        <v>0.1</v>
      </c>
      <c r="G33" s="263">
        <f t="shared" si="23"/>
        <v>0.1</v>
      </c>
      <c r="H33" s="263">
        <f t="shared" si="23"/>
        <v>0.1</v>
      </c>
      <c r="I33" s="263">
        <f t="shared" si="23"/>
        <v>0.1</v>
      </c>
      <c r="J33" s="263">
        <f t="shared" si="23"/>
        <v>0.38904514499428022</v>
      </c>
      <c r="K33" s="263">
        <f t="shared" si="23"/>
        <v>0.68611987528170582</v>
      </c>
      <c r="L33" s="263">
        <f t="shared" si="23"/>
        <v>0.51665424256694992</v>
      </c>
      <c r="M33" s="263">
        <f t="shared" si="23"/>
        <v>1.0715193052376064</v>
      </c>
      <c r="N33" s="263">
        <f t="shared" si="23"/>
        <v>2.892011396215489</v>
      </c>
      <c r="O33" s="263">
        <f t="shared" si="23"/>
        <v>1.4229839445793344</v>
      </c>
      <c r="P33" s="263">
        <f t="shared" si="23"/>
        <v>2.9512092266663856</v>
      </c>
      <c r="Q33" s="263">
        <f t="shared" si="23"/>
        <v>3.9192232245497651</v>
      </c>
      <c r="R33" s="263">
        <f t="shared" si="23"/>
        <v>8.1283051616409825</v>
      </c>
      <c r="S33" s="263">
        <f t="shared" si="23"/>
        <v>22.387211385683397</v>
      </c>
      <c r="T33" s="263">
        <f t="shared" si="23"/>
        <v>10.794437099844536</v>
      </c>
      <c r="U33" s="263">
        <f t="shared" si="23"/>
        <v>29.730348496770183</v>
      </c>
      <c r="V33" s="263">
        <f t="shared" si="23"/>
        <v>61.659500186148257</v>
      </c>
      <c r="W33" s="263">
        <f t="shared" si="23"/>
        <v>169.8243652461743</v>
      </c>
      <c r="X33" s="263">
        <f t="shared" si="23"/>
        <v>81.884179190051285</v>
      </c>
      <c r="Y33" s="264">
        <f t="shared" si="23"/>
        <v>467.7351412871983</v>
      </c>
      <c r="Z33" s="48" t="s">
        <v>107</v>
      </c>
      <c r="AA33" s="47" t="s">
        <v>107</v>
      </c>
      <c r="AB33" s="2"/>
    </row>
    <row r="34" spans="1:28">
      <c r="A34" s="106"/>
      <c r="B34" s="5" t="s">
        <v>96</v>
      </c>
      <c r="C34" s="28">
        <v>9</v>
      </c>
      <c r="D34" s="265">
        <f t="shared" ref="D34:Y34" si="24">IF(D$4&lt;$AB$19,0.1,10^(0.0125*D$4-5.58+0.7))</f>
        <v>0.1</v>
      </c>
      <c r="E34" s="266">
        <f t="shared" si="24"/>
        <v>0.1</v>
      </c>
      <c r="F34" s="266">
        <f t="shared" si="24"/>
        <v>0.1</v>
      </c>
      <c r="G34" s="266">
        <f t="shared" si="24"/>
        <v>0.1</v>
      </c>
      <c r="H34" s="266">
        <f t="shared" si="24"/>
        <v>0.3126079367123954</v>
      </c>
      <c r="I34" s="266">
        <f t="shared" si="24"/>
        <v>0.4677351412871979</v>
      </c>
      <c r="J34" s="266">
        <f t="shared" si="24"/>
        <v>1.3182567385564068</v>
      </c>
      <c r="K34" s="266">
        <f t="shared" si="24"/>
        <v>2.9512092266663887</v>
      </c>
      <c r="L34" s="266">
        <f t="shared" si="24"/>
        <v>1.9724227361148565</v>
      </c>
      <c r="M34" s="266">
        <f t="shared" si="24"/>
        <v>5.559042572704036</v>
      </c>
      <c r="N34" s="266">
        <f t="shared" si="24"/>
        <v>22.777182418573261</v>
      </c>
      <c r="O34" s="266">
        <f t="shared" si="24"/>
        <v>8.3176377110267214</v>
      </c>
      <c r="P34" s="266">
        <f t="shared" si="24"/>
        <v>23.442288153199225</v>
      </c>
      <c r="Q34" s="266">
        <f t="shared" si="24"/>
        <v>35.075187395256862</v>
      </c>
      <c r="R34" s="266">
        <f t="shared" si="24"/>
        <v>98.855309465693935</v>
      </c>
      <c r="S34" s="266">
        <f t="shared" si="24"/>
        <v>416.86938347033572</v>
      </c>
      <c r="T34" s="266">
        <f t="shared" si="24"/>
        <v>147.9108388168211</v>
      </c>
      <c r="U34" s="266">
        <f t="shared" si="24"/>
        <v>623.73483548242086</v>
      </c>
      <c r="V34" s="266">
        <f t="shared" si="24"/>
        <v>1757.9236139586944</v>
      </c>
      <c r="W34" s="266">
        <f t="shared" si="24"/>
        <v>7413.1024130091773</v>
      </c>
      <c r="X34" s="266">
        <f t="shared" si="24"/>
        <v>2630.2679918953895</v>
      </c>
      <c r="Y34" s="267">
        <f t="shared" si="24"/>
        <v>31260.793671239597</v>
      </c>
      <c r="Z34" s="48" t="s">
        <v>107</v>
      </c>
      <c r="AA34" s="47" t="s">
        <v>107</v>
      </c>
      <c r="AB34" s="2"/>
    </row>
    <row r="35" spans="1:28">
      <c r="A35" s="106"/>
      <c r="B35" s="5" t="s">
        <v>110</v>
      </c>
      <c r="C35" s="28">
        <v>10</v>
      </c>
      <c r="D35" s="253">
        <f t="shared" ref="D35:Y35" si="25">IF(D$4&lt;$AB$20,0.1,10^(0.0122*D$4-5.69+0.5))</f>
        <v>0.1</v>
      </c>
      <c r="E35" s="254">
        <f t="shared" si="25"/>
        <v>0.1</v>
      </c>
      <c r="F35" s="254">
        <f t="shared" si="25"/>
        <v>0.1</v>
      </c>
      <c r="G35" s="254">
        <f t="shared" si="25"/>
        <v>0.1</v>
      </c>
      <c r="H35" s="254">
        <f t="shared" si="25"/>
        <v>0.12022644346174129</v>
      </c>
      <c r="I35" s="254">
        <f t="shared" si="25"/>
        <v>0.1781558140662893</v>
      </c>
      <c r="J35" s="254">
        <f t="shared" si="25"/>
        <v>0.48977881936844558</v>
      </c>
      <c r="K35" s="254">
        <f t="shared" si="25"/>
        <v>1.0754742089727889</v>
      </c>
      <c r="L35" s="254">
        <f t="shared" si="25"/>
        <v>0.72577165026742851</v>
      </c>
      <c r="M35" s="254">
        <f t="shared" si="25"/>
        <v>1.9952623149688791</v>
      </c>
      <c r="N35" s="254">
        <f t="shared" si="25"/>
        <v>7.90314590864471</v>
      </c>
      <c r="O35" s="254">
        <f t="shared" si="25"/>
        <v>2.9566505650829407</v>
      </c>
      <c r="P35" s="254">
        <f t="shared" si="25"/>
        <v>8.1283051616409985</v>
      </c>
      <c r="Q35" s="254">
        <f t="shared" si="25"/>
        <v>12.044811285731759</v>
      </c>
      <c r="R35" s="254">
        <f t="shared" si="25"/>
        <v>33.113112148259155</v>
      </c>
      <c r="S35" s="254">
        <f t="shared" si="25"/>
        <v>134.89628825916537</v>
      </c>
      <c r="T35" s="254">
        <f t="shared" si="25"/>
        <v>49.068185676795203</v>
      </c>
      <c r="U35" s="254">
        <f t="shared" si="25"/>
        <v>199.89411112356598</v>
      </c>
      <c r="V35" s="254">
        <f t="shared" si="25"/>
        <v>549.54087385762534</v>
      </c>
      <c r="W35" s="254">
        <f t="shared" si="25"/>
        <v>2238.7211385683436</v>
      </c>
      <c r="X35" s="254">
        <f t="shared" si="25"/>
        <v>814.32918520924738</v>
      </c>
      <c r="Y35" s="255">
        <f t="shared" si="25"/>
        <v>9120.1083935591087</v>
      </c>
      <c r="Z35" s="48" t="s">
        <v>107</v>
      </c>
      <c r="AA35" s="47" t="s">
        <v>107</v>
      </c>
      <c r="AB35" s="2"/>
    </row>
    <row r="36" spans="1:28">
      <c r="A36" s="106"/>
      <c r="B36" s="5" t="s">
        <v>101</v>
      </c>
      <c r="C36" s="28">
        <v>11</v>
      </c>
      <c r="D36" s="268">
        <f t="shared" ref="D36:Y36" si="26">IF(D$4&lt;$AB$21,0.1,10^(0.0109*D$4-5.68+0.5))</f>
        <v>0.1</v>
      </c>
      <c r="E36" s="269">
        <f t="shared" si="26"/>
        <v>0.1</v>
      </c>
      <c r="F36" s="269">
        <f t="shared" si="26"/>
        <v>0.1</v>
      </c>
      <c r="G36" s="269">
        <f t="shared" si="26"/>
        <v>0.1</v>
      </c>
      <c r="H36" s="269">
        <f t="shared" si="26"/>
        <v>0.1</v>
      </c>
      <c r="I36" s="269">
        <f t="shared" si="26"/>
        <v>0.1</v>
      </c>
      <c r="J36" s="269">
        <f t="shared" si="26"/>
        <v>0.1</v>
      </c>
      <c r="K36" s="269">
        <f t="shared" si="26"/>
        <v>0.30563282803659658</v>
      </c>
      <c r="L36" s="269">
        <f t="shared" si="26"/>
        <v>0.21507998622981186</v>
      </c>
      <c r="M36" s="269">
        <f t="shared" si="26"/>
        <v>0.53088444423098902</v>
      </c>
      <c r="N36" s="269">
        <f t="shared" si="26"/>
        <v>1.8159337488353455</v>
      </c>
      <c r="O36" s="269">
        <f t="shared" si="26"/>
        <v>0.75439708219799029</v>
      </c>
      <c r="P36" s="269">
        <f t="shared" si="26"/>
        <v>1.8620871366628695</v>
      </c>
      <c r="Q36" s="269">
        <f t="shared" si="26"/>
        <v>2.6460619028529457</v>
      </c>
      <c r="R36" s="269">
        <f t="shared" si="26"/>
        <v>6.5313055264747311</v>
      </c>
      <c r="S36" s="269">
        <f t="shared" si="26"/>
        <v>22.908676527677759</v>
      </c>
      <c r="T36" s="269">
        <f t="shared" si="26"/>
        <v>9.2811117102016851</v>
      </c>
      <c r="U36" s="269">
        <f t="shared" si="26"/>
        <v>32.553673247163644</v>
      </c>
      <c r="V36" s="269">
        <f t="shared" si="26"/>
        <v>80.352612218561831</v>
      </c>
      <c r="W36" s="269">
        <f t="shared" si="26"/>
        <v>281.83829312644554</v>
      </c>
      <c r="X36" s="269">
        <f t="shared" si="26"/>
        <v>114.18261895482225</v>
      </c>
      <c r="Y36" s="270">
        <f t="shared" si="26"/>
        <v>988.55309465694222</v>
      </c>
      <c r="Z36" s="48" t="s">
        <v>107</v>
      </c>
      <c r="AA36" s="47" t="s">
        <v>107</v>
      </c>
      <c r="AB36" s="2"/>
    </row>
    <row r="37" spans="1:28">
      <c r="A37" s="106"/>
      <c r="B37" s="11" t="s">
        <v>121</v>
      </c>
      <c r="C37" s="29">
        <v>12</v>
      </c>
      <c r="D37" s="271">
        <f t="shared" ref="D37:Y37" si="27">IF(D$4&lt;$AB$22,0.1,10^(0.0109*D$4-5.68+0.5))</f>
        <v>0.1</v>
      </c>
      <c r="E37" s="272">
        <f t="shared" si="27"/>
        <v>0.1</v>
      </c>
      <c r="F37" s="272">
        <f t="shared" si="27"/>
        <v>0.1</v>
      </c>
      <c r="G37" s="272">
        <f t="shared" si="27"/>
        <v>0.1</v>
      </c>
      <c r="H37" s="272">
        <f t="shared" si="27"/>
        <v>0.1</v>
      </c>
      <c r="I37" s="272">
        <f t="shared" si="27"/>
        <v>0.1</v>
      </c>
      <c r="J37" s="272">
        <f t="shared" si="27"/>
        <v>0.1</v>
      </c>
      <c r="K37" s="272">
        <f t="shared" si="27"/>
        <v>0.30563282803659658</v>
      </c>
      <c r="L37" s="272">
        <f t="shared" si="27"/>
        <v>0.21507998622981186</v>
      </c>
      <c r="M37" s="272">
        <f t="shared" si="27"/>
        <v>0.53088444423098902</v>
      </c>
      <c r="N37" s="272">
        <f t="shared" si="27"/>
        <v>1.8159337488353455</v>
      </c>
      <c r="O37" s="272">
        <f t="shared" si="27"/>
        <v>0.75439708219799029</v>
      </c>
      <c r="P37" s="272">
        <f t="shared" si="27"/>
        <v>1.8620871366628695</v>
      </c>
      <c r="Q37" s="272">
        <f t="shared" si="27"/>
        <v>2.6460619028529457</v>
      </c>
      <c r="R37" s="272">
        <f t="shared" si="27"/>
        <v>6.5313055264747311</v>
      </c>
      <c r="S37" s="272">
        <f t="shared" si="27"/>
        <v>22.908676527677759</v>
      </c>
      <c r="T37" s="272">
        <f t="shared" si="27"/>
        <v>9.2811117102016851</v>
      </c>
      <c r="U37" s="272">
        <f t="shared" si="27"/>
        <v>32.553673247163644</v>
      </c>
      <c r="V37" s="272">
        <f t="shared" si="27"/>
        <v>80.352612218561831</v>
      </c>
      <c r="W37" s="272">
        <f t="shared" si="27"/>
        <v>281.83829312644554</v>
      </c>
      <c r="X37" s="272">
        <f t="shared" si="27"/>
        <v>114.18261895482225</v>
      </c>
      <c r="Y37" s="273">
        <f t="shared" si="27"/>
        <v>988.55309465694222</v>
      </c>
      <c r="Z37" s="49" t="s">
        <v>107</v>
      </c>
      <c r="AA37" s="50" t="s">
        <v>107</v>
      </c>
      <c r="AB37" s="2"/>
    </row>
    <row r="38" spans="1:28">
      <c r="A38" s="2"/>
      <c r="B38" s="2"/>
      <c r="C38" s="2"/>
      <c r="D38" s="8"/>
      <c r="E38" s="8"/>
      <c r="F38" s="8"/>
      <c r="G38" s="2"/>
      <c r="H38" s="2"/>
      <c r="I38" s="2"/>
      <c r="J38" s="2"/>
      <c r="K38" s="2"/>
      <c r="L38" s="2"/>
      <c r="M38" s="2"/>
      <c r="N38" s="2"/>
      <c r="O38" s="2"/>
      <c r="P38" s="2"/>
      <c r="Q38" s="2"/>
      <c r="R38" s="2"/>
      <c r="S38" s="2"/>
      <c r="T38" s="2"/>
      <c r="U38" s="2"/>
      <c r="V38" s="2"/>
      <c r="W38" s="2"/>
      <c r="X38" s="2"/>
      <c r="Y38" s="2"/>
      <c r="Z38" s="2"/>
      <c r="AA38" s="2"/>
      <c r="AB38" s="2"/>
    </row>
    <row r="39" spans="1:28" ht="18">
      <c r="A39" s="2"/>
      <c r="B39" s="40" t="s">
        <v>133</v>
      </c>
      <c r="C39" s="23" t="s">
        <v>111</v>
      </c>
      <c r="D39" s="13" t="s">
        <v>10</v>
      </c>
      <c r="E39" s="16" t="s">
        <v>28</v>
      </c>
      <c r="F39" s="16" t="s">
        <v>11</v>
      </c>
      <c r="G39" s="16" t="s">
        <v>12</v>
      </c>
      <c r="H39" s="16" t="s">
        <v>33</v>
      </c>
      <c r="I39" s="16" t="s">
        <v>14</v>
      </c>
      <c r="J39" s="224" t="s">
        <v>13</v>
      </c>
      <c r="K39" s="16" t="s">
        <v>61</v>
      </c>
      <c r="L39" s="224" t="s">
        <v>7</v>
      </c>
      <c r="M39" s="16" t="s">
        <v>31</v>
      </c>
      <c r="N39" s="16" t="s">
        <v>30</v>
      </c>
      <c r="O39" s="224" t="s">
        <v>15</v>
      </c>
      <c r="P39" s="224" t="s">
        <v>0</v>
      </c>
      <c r="Q39" s="16" t="s">
        <v>34</v>
      </c>
      <c r="R39" s="16" t="s">
        <v>27</v>
      </c>
      <c r="S39" s="16" t="s">
        <v>29</v>
      </c>
      <c r="T39" s="16" t="s">
        <v>32</v>
      </c>
      <c r="U39" s="16" t="s">
        <v>35</v>
      </c>
      <c r="V39" s="16" t="s">
        <v>37</v>
      </c>
      <c r="W39" s="16" t="s">
        <v>38</v>
      </c>
      <c r="X39" s="16" t="s">
        <v>36</v>
      </c>
      <c r="Y39" s="14" t="s">
        <v>39</v>
      </c>
      <c r="Z39" s="247" t="s">
        <v>406</v>
      </c>
      <c r="AA39" s="14" t="s">
        <v>407</v>
      </c>
      <c r="AB39" s="2"/>
    </row>
    <row r="40" spans="1:28">
      <c r="A40" s="2"/>
      <c r="B40" s="22"/>
      <c r="C40" s="32" t="s">
        <v>116</v>
      </c>
      <c r="D40" s="33">
        <v>3</v>
      </c>
      <c r="E40" s="4">
        <v>4</v>
      </c>
      <c r="F40" s="4">
        <v>4</v>
      </c>
      <c r="G40" s="4">
        <v>5</v>
      </c>
      <c r="H40" s="4">
        <v>5</v>
      </c>
      <c r="I40" s="4">
        <v>6</v>
      </c>
      <c r="J40" s="4">
        <v>6</v>
      </c>
      <c r="K40" s="4">
        <v>6</v>
      </c>
      <c r="L40" s="4">
        <v>7</v>
      </c>
      <c r="M40" s="4">
        <v>7</v>
      </c>
      <c r="N40" s="4">
        <v>8</v>
      </c>
      <c r="O40" s="4">
        <v>8</v>
      </c>
      <c r="P40" s="4">
        <v>8</v>
      </c>
      <c r="Q40" s="4">
        <v>9</v>
      </c>
      <c r="R40" s="4">
        <v>9</v>
      </c>
      <c r="S40" s="4">
        <v>10</v>
      </c>
      <c r="T40" s="4">
        <v>10</v>
      </c>
      <c r="U40" s="4">
        <v>11</v>
      </c>
      <c r="V40" s="4">
        <v>11</v>
      </c>
      <c r="W40" s="4">
        <v>12</v>
      </c>
      <c r="X40" s="4">
        <v>12</v>
      </c>
      <c r="Y40" s="4">
        <v>13</v>
      </c>
      <c r="Z40" s="33" t="s">
        <v>107</v>
      </c>
      <c r="AA40" s="109" t="s">
        <v>107</v>
      </c>
      <c r="AB40" s="2"/>
    </row>
    <row r="41" spans="1:28">
      <c r="A41" s="105" t="s">
        <v>97</v>
      </c>
      <c r="B41" s="19" t="s">
        <v>187</v>
      </c>
      <c r="C41" s="137">
        <v>1</v>
      </c>
      <c r="D41" s="248">
        <f t="shared" ref="D41:Y41" si="28">IF(D$4&lt;$AB$11,0,10^(0.0149*D$4-6.32-0.5))</f>
        <v>0</v>
      </c>
      <c r="E41" s="252">
        <f t="shared" si="28"/>
        <v>0</v>
      </c>
      <c r="F41" s="252">
        <f t="shared" si="28"/>
        <v>0</v>
      </c>
      <c r="G41" s="252">
        <f t="shared" si="28"/>
        <v>0</v>
      </c>
      <c r="H41" s="252">
        <f t="shared" si="28"/>
        <v>2.4831331052955666E-2</v>
      </c>
      <c r="I41" s="252">
        <f t="shared" si="28"/>
        <v>4.0142091820432109E-2</v>
      </c>
      <c r="J41" s="252">
        <f t="shared" si="28"/>
        <v>0.13803842646028835</v>
      </c>
      <c r="K41" s="252">
        <f t="shared" si="28"/>
        <v>0.36074473386419154</v>
      </c>
      <c r="L41" s="252">
        <f t="shared" si="28"/>
        <v>0.22315159738717619</v>
      </c>
      <c r="M41" s="252">
        <f t="shared" si="28"/>
        <v>0.76736148936181858</v>
      </c>
      <c r="N41" s="252">
        <f t="shared" si="28"/>
        <v>4.1219241898309749</v>
      </c>
      <c r="O41" s="252">
        <f t="shared" si="28"/>
        <v>1.2405092300422238</v>
      </c>
      <c r="P41" s="252">
        <f t="shared" si="28"/>
        <v>4.2657951880159262</v>
      </c>
      <c r="Q41" s="252">
        <f t="shared" si="28"/>
        <v>6.8960436216370296</v>
      </c>
      <c r="R41" s="252">
        <f t="shared" si="28"/>
        <v>23.713737056616559</v>
      </c>
      <c r="S41" s="252">
        <f t="shared" si="28"/>
        <v>131.8256738556405</v>
      </c>
      <c r="T41" s="252">
        <f t="shared" si="28"/>
        <v>38.33540007590446</v>
      </c>
      <c r="U41" s="252">
        <f t="shared" si="28"/>
        <v>213.10812106359404</v>
      </c>
      <c r="V41" s="252">
        <f t="shared" si="28"/>
        <v>732.82453313890483</v>
      </c>
      <c r="W41" s="252">
        <f t="shared" si="28"/>
        <v>4073.8027780411244</v>
      </c>
      <c r="X41" s="252">
        <f t="shared" si="28"/>
        <v>1184.6771175814829</v>
      </c>
      <c r="Y41" s="252">
        <f t="shared" si="28"/>
        <v>22646.44307593066</v>
      </c>
      <c r="Z41" s="48" t="s">
        <v>107</v>
      </c>
      <c r="AA41" s="47" t="s">
        <v>107</v>
      </c>
      <c r="AB41" s="2"/>
    </row>
    <row r="42" spans="1:28">
      <c r="A42" s="106"/>
      <c r="B42" s="20" t="s">
        <v>102</v>
      </c>
      <c r="C42" s="34">
        <v>2</v>
      </c>
      <c r="D42" s="253">
        <f t="shared" ref="D42:Y42" si="29">IF(D$4&lt;$AB$12,0,10^(0.0122*D$4-5.69-0.5))</f>
        <v>0</v>
      </c>
      <c r="E42" s="254">
        <f t="shared" si="29"/>
        <v>0</v>
      </c>
      <c r="F42" s="254">
        <f t="shared" si="29"/>
        <v>0</v>
      </c>
      <c r="G42" s="254">
        <f t="shared" si="29"/>
        <v>0</v>
      </c>
      <c r="H42" s="254">
        <f t="shared" si="29"/>
        <v>1.2022644346174125E-2</v>
      </c>
      <c r="I42" s="254">
        <f t="shared" si="29"/>
        <v>1.7815581406628929E-2</v>
      </c>
      <c r="J42" s="254">
        <f t="shared" si="29"/>
        <v>4.8977881936844561E-2</v>
      </c>
      <c r="K42" s="254">
        <f t="shared" si="29"/>
        <v>0.10754742089727889</v>
      </c>
      <c r="L42" s="254">
        <f t="shared" si="29"/>
        <v>7.2577165026742843E-2</v>
      </c>
      <c r="M42" s="254">
        <f t="shared" si="29"/>
        <v>0.19952623149688781</v>
      </c>
      <c r="N42" s="254">
        <f t="shared" si="29"/>
        <v>0.79031459086447087</v>
      </c>
      <c r="O42" s="254">
        <f t="shared" si="29"/>
        <v>0.295665056508294</v>
      </c>
      <c r="P42" s="254">
        <f t="shared" si="29"/>
        <v>0.81283051616409951</v>
      </c>
      <c r="Q42" s="254">
        <f t="shared" si="29"/>
        <v>1.204481128573176</v>
      </c>
      <c r="R42" s="254">
        <f t="shared" si="29"/>
        <v>3.3113112148259152</v>
      </c>
      <c r="S42" s="254">
        <f t="shared" si="29"/>
        <v>13.489628825916535</v>
      </c>
      <c r="T42" s="254">
        <f t="shared" si="29"/>
        <v>4.9068185676795206</v>
      </c>
      <c r="U42" s="254">
        <f t="shared" si="29"/>
        <v>19.989411112356592</v>
      </c>
      <c r="V42" s="254">
        <f t="shared" si="29"/>
        <v>54.95408738576252</v>
      </c>
      <c r="W42" s="254">
        <f t="shared" si="29"/>
        <v>223.87211385683432</v>
      </c>
      <c r="X42" s="254">
        <f t="shared" si="29"/>
        <v>81.432918520924716</v>
      </c>
      <c r="Y42" s="255">
        <f t="shared" si="29"/>
        <v>912.01083935590987</v>
      </c>
      <c r="Z42" s="48" t="s">
        <v>107</v>
      </c>
      <c r="AA42" s="47" t="s">
        <v>107</v>
      </c>
      <c r="AB42" s="2"/>
    </row>
    <row r="43" spans="1:28">
      <c r="A43" s="106"/>
      <c r="B43" s="20" t="s">
        <v>186</v>
      </c>
      <c r="C43" s="34">
        <v>3</v>
      </c>
      <c r="D43" s="249">
        <f t="shared" ref="D43:Y43" si="30">IF(D$4&lt;$AB$13,0,10^(0.0149*D$4-6.32-0.5))</f>
        <v>0</v>
      </c>
      <c r="E43" s="250">
        <f t="shared" si="30"/>
        <v>0</v>
      </c>
      <c r="F43" s="250">
        <f t="shared" si="30"/>
        <v>0</v>
      </c>
      <c r="G43" s="250">
        <f t="shared" si="30"/>
        <v>0</v>
      </c>
      <c r="H43" s="250">
        <f t="shared" si="30"/>
        <v>2.4831331052955666E-2</v>
      </c>
      <c r="I43" s="250">
        <f t="shared" si="30"/>
        <v>4.0142091820432109E-2</v>
      </c>
      <c r="J43" s="250">
        <f t="shared" si="30"/>
        <v>0.13803842646028835</v>
      </c>
      <c r="K43" s="250">
        <f t="shared" si="30"/>
        <v>0.36074473386419154</v>
      </c>
      <c r="L43" s="250">
        <f t="shared" si="30"/>
        <v>0.22315159738717619</v>
      </c>
      <c r="M43" s="250">
        <f t="shared" si="30"/>
        <v>0.76736148936181858</v>
      </c>
      <c r="N43" s="250">
        <f t="shared" si="30"/>
        <v>4.1219241898309749</v>
      </c>
      <c r="O43" s="250">
        <f t="shared" si="30"/>
        <v>1.2405092300422238</v>
      </c>
      <c r="P43" s="250">
        <f t="shared" si="30"/>
        <v>4.2657951880159262</v>
      </c>
      <c r="Q43" s="250">
        <f t="shared" si="30"/>
        <v>6.8960436216370296</v>
      </c>
      <c r="R43" s="250">
        <f t="shared" si="30"/>
        <v>23.713737056616559</v>
      </c>
      <c r="S43" s="250">
        <f t="shared" si="30"/>
        <v>131.8256738556405</v>
      </c>
      <c r="T43" s="250">
        <f t="shared" si="30"/>
        <v>38.33540007590446</v>
      </c>
      <c r="U43" s="250">
        <f t="shared" si="30"/>
        <v>213.10812106359404</v>
      </c>
      <c r="V43" s="250">
        <f t="shared" si="30"/>
        <v>732.82453313890483</v>
      </c>
      <c r="W43" s="250">
        <f t="shared" si="30"/>
        <v>4073.8027780411244</v>
      </c>
      <c r="X43" s="250">
        <f t="shared" si="30"/>
        <v>1184.6771175814829</v>
      </c>
      <c r="Y43" s="251">
        <f t="shared" si="30"/>
        <v>22646.44307593066</v>
      </c>
      <c r="Z43" s="48" t="s">
        <v>107</v>
      </c>
      <c r="AA43" s="47" t="s">
        <v>107</v>
      </c>
      <c r="AB43" s="2"/>
    </row>
    <row r="44" spans="1:28">
      <c r="A44" s="106"/>
      <c r="B44" s="20" t="s">
        <v>93</v>
      </c>
      <c r="C44" s="34">
        <v>4</v>
      </c>
      <c r="D44" s="259">
        <f t="shared" ref="D44:Y44" si="31">IF(D$4&lt;$AB$14,0,10^(0.0088*D$4-4.73-0.8))</f>
        <v>0</v>
      </c>
      <c r="E44" s="260">
        <f t="shared" si="31"/>
        <v>0</v>
      </c>
      <c r="F44" s="260">
        <f t="shared" si="31"/>
        <v>0</v>
      </c>
      <c r="G44" s="260">
        <f t="shared" si="31"/>
        <v>0</v>
      </c>
      <c r="H44" s="260">
        <f t="shared" si="31"/>
        <v>0</v>
      </c>
      <c r="I44" s="260">
        <f t="shared" si="31"/>
        <v>0</v>
      </c>
      <c r="J44" s="260">
        <f t="shared" si="31"/>
        <v>9.7723722095580858E-3</v>
      </c>
      <c r="K44" s="260">
        <f t="shared" si="31"/>
        <v>1.7234552051091607E-2</v>
      </c>
      <c r="L44" s="260">
        <f t="shared" si="31"/>
        <v>1.2977767816857801E-2</v>
      </c>
      <c r="M44" s="260">
        <f t="shared" si="31"/>
        <v>2.6915348039269142E-2</v>
      </c>
      <c r="N44" s="260">
        <f t="shared" si="31"/>
        <v>7.2644041859247596E-2</v>
      </c>
      <c r="O44" s="260">
        <f t="shared" si="31"/>
        <v>3.5743740626448084E-2</v>
      </c>
      <c r="P44" s="260">
        <f t="shared" si="31"/>
        <v>7.4131024130091733E-2</v>
      </c>
      <c r="Q44" s="260">
        <f t="shared" si="31"/>
        <v>9.8446436398037754E-2</v>
      </c>
      <c r="R44" s="260">
        <f t="shared" si="31"/>
        <v>0.20417379446695261</v>
      </c>
      <c r="S44" s="260">
        <f t="shared" si="31"/>
        <v>0.56234132519034874</v>
      </c>
      <c r="T44" s="260">
        <f t="shared" si="31"/>
        <v>0.271144000868831</v>
      </c>
      <c r="U44" s="260">
        <f t="shared" si="31"/>
        <v>0.74679258993088238</v>
      </c>
      <c r="V44" s="260">
        <f t="shared" si="31"/>
        <v>1.5488166189124819</v>
      </c>
      <c r="W44" s="260">
        <f t="shared" si="31"/>
        <v>4.2657951880159235</v>
      </c>
      <c r="X44" s="260">
        <f t="shared" si="31"/>
        <v>2.056837586627887</v>
      </c>
      <c r="Y44" s="261">
        <f t="shared" si="31"/>
        <v>11.748975549395301</v>
      </c>
      <c r="Z44" s="48" t="s">
        <v>107</v>
      </c>
      <c r="AA44" s="47" t="s">
        <v>107</v>
      </c>
      <c r="AB44" s="2"/>
    </row>
    <row r="45" spans="1:28">
      <c r="A45" s="106"/>
      <c r="B45" s="20" t="s">
        <v>94</v>
      </c>
      <c r="C45" s="34">
        <v>5</v>
      </c>
      <c r="D45" s="265">
        <f t="shared" ref="D45:Y45" si="32">IF(D$4&lt;$AB$15,0,10^(0.0125*D$4-5.58-0.7))</f>
        <v>0</v>
      </c>
      <c r="E45" s="266">
        <f t="shared" si="32"/>
        <v>0</v>
      </c>
      <c r="F45" s="266">
        <f t="shared" si="32"/>
        <v>0</v>
      </c>
      <c r="G45" s="266">
        <f t="shared" si="32"/>
        <v>0</v>
      </c>
      <c r="H45" s="266">
        <f t="shared" si="32"/>
        <v>1.2445146117713846E-2</v>
      </c>
      <c r="I45" s="266">
        <f t="shared" si="32"/>
        <v>1.8620871366628659E-2</v>
      </c>
      <c r="J45" s="266">
        <f t="shared" si="32"/>
        <v>5.2480746024977244E-2</v>
      </c>
      <c r="K45" s="266">
        <f t="shared" si="32"/>
        <v>0.11748975549395306</v>
      </c>
      <c r="L45" s="266">
        <f t="shared" si="32"/>
        <v>7.8523563461007279E-2</v>
      </c>
      <c r="M45" s="266">
        <f t="shared" si="32"/>
        <v>0.22130947096056372</v>
      </c>
      <c r="N45" s="266">
        <f t="shared" si="32"/>
        <v>0.9067759645839063</v>
      </c>
      <c r="O45" s="266">
        <f t="shared" si="32"/>
        <v>0.33113112148259161</v>
      </c>
      <c r="P45" s="266">
        <f t="shared" si="32"/>
        <v>0.93325430079699101</v>
      </c>
      <c r="Q45" s="266">
        <f t="shared" si="32"/>
        <v>1.3963683610559399</v>
      </c>
      <c r="R45" s="266">
        <f t="shared" si="32"/>
        <v>3.9355007545577751</v>
      </c>
      <c r="S45" s="266">
        <f t="shared" si="32"/>
        <v>16.595869074375614</v>
      </c>
      <c r="T45" s="266">
        <f t="shared" si="32"/>
        <v>5.8884365535559002</v>
      </c>
      <c r="U45" s="266">
        <f t="shared" si="32"/>
        <v>24.831331052955747</v>
      </c>
      <c r="V45" s="266">
        <f t="shared" si="32"/>
        <v>69.984199600227356</v>
      </c>
      <c r="W45" s="266">
        <f t="shared" si="32"/>
        <v>295.12092266663871</v>
      </c>
      <c r="X45" s="266">
        <f t="shared" si="32"/>
        <v>104.71285480509007</v>
      </c>
      <c r="Y45" s="267">
        <f t="shared" si="32"/>
        <v>1244.5146117713848</v>
      </c>
      <c r="Z45" s="48" t="s">
        <v>107</v>
      </c>
      <c r="AA45" s="47" t="s">
        <v>107</v>
      </c>
      <c r="AB45" s="2"/>
    </row>
    <row r="46" spans="1:28">
      <c r="A46" s="106"/>
      <c r="B46" s="20" t="s">
        <v>158</v>
      </c>
      <c r="C46" s="34">
        <v>6</v>
      </c>
      <c r="D46" s="268">
        <f t="shared" ref="D46:Y46" si="33">IF(D$4&lt;$AB$16,0,10^(0.0109*D$4-5.68-0.5))</f>
        <v>0</v>
      </c>
      <c r="E46" s="269">
        <f t="shared" si="33"/>
        <v>0</v>
      </c>
      <c r="F46" s="269">
        <f t="shared" si="33"/>
        <v>0</v>
      </c>
      <c r="G46" s="269">
        <f t="shared" si="33"/>
        <v>0</v>
      </c>
      <c r="H46" s="269">
        <f t="shared" si="33"/>
        <v>0</v>
      </c>
      <c r="I46" s="269">
        <f t="shared" si="33"/>
        <v>0</v>
      </c>
      <c r="J46" s="269">
        <f t="shared" si="33"/>
        <v>0</v>
      </c>
      <c r="K46" s="269">
        <f t="shared" si="33"/>
        <v>3.056328280365966E-2</v>
      </c>
      <c r="L46" s="269">
        <f t="shared" si="33"/>
        <v>2.1507998622981177E-2</v>
      </c>
      <c r="M46" s="269">
        <f t="shared" si="33"/>
        <v>5.3088444423098895E-2</v>
      </c>
      <c r="N46" s="269">
        <f t="shared" si="33"/>
        <v>0.1815933748835345</v>
      </c>
      <c r="O46" s="269">
        <f t="shared" si="33"/>
        <v>7.543970821979902E-2</v>
      </c>
      <c r="P46" s="269">
        <f t="shared" si="33"/>
        <v>0.18620871366628691</v>
      </c>
      <c r="Q46" s="269">
        <f t="shared" si="33"/>
        <v>0.26460619028529447</v>
      </c>
      <c r="R46" s="269">
        <f t="shared" si="33"/>
        <v>0.65313055264747299</v>
      </c>
      <c r="S46" s="269">
        <f t="shared" si="33"/>
        <v>2.2908676527677749</v>
      </c>
      <c r="T46" s="269">
        <f t="shared" si="33"/>
        <v>0.92811117102016849</v>
      </c>
      <c r="U46" s="269">
        <f t="shared" si="33"/>
        <v>3.2553673247163641</v>
      </c>
      <c r="V46" s="269">
        <f t="shared" si="33"/>
        <v>8.0352612218561781</v>
      </c>
      <c r="W46" s="269">
        <f t="shared" si="33"/>
        <v>28.183829312644562</v>
      </c>
      <c r="X46" s="269">
        <f t="shared" si="33"/>
        <v>11.418261895482223</v>
      </c>
      <c r="Y46" s="270">
        <f t="shared" si="33"/>
        <v>98.855309465694191</v>
      </c>
      <c r="Z46" s="48" t="s">
        <v>107</v>
      </c>
      <c r="AA46" s="47" t="s">
        <v>107</v>
      </c>
      <c r="AB46" s="2"/>
    </row>
    <row r="47" spans="1:28">
      <c r="A47" s="106"/>
      <c r="B47" s="18" t="s">
        <v>109</v>
      </c>
      <c r="C47" s="35">
        <v>7</v>
      </c>
      <c r="D47" s="256">
        <f t="shared" ref="D47:Y47" si="34">IF(D$4&lt;$AB$17,0,10^(0.0122*D$4-5.69-0.5))</f>
        <v>0</v>
      </c>
      <c r="E47" s="257">
        <f t="shared" si="34"/>
        <v>0</v>
      </c>
      <c r="F47" s="257">
        <f t="shared" si="34"/>
        <v>0</v>
      </c>
      <c r="G47" s="257">
        <f t="shared" si="34"/>
        <v>0</v>
      </c>
      <c r="H47" s="257">
        <f t="shared" si="34"/>
        <v>1.2022644346174125E-2</v>
      </c>
      <c r="I47" s="257">
        <f t="shared" si="34"/>
        <v>1.7815581406628929E-2</v>
      </c>
      <c r="J47" s="257">
        <f t="shared" si="34"/>
        <v>4.8977881936844561E-2</v>
      </c>
      <c r="K47" s="257">
        <f t="shared" si="34"/>
        <v>0.10754742089727889</v>
      </c>
      <c r="L47" s="257">
        <f t="shared" si="34"/>
        <v>7.2577165026742843E-2</v>
      </c>
      <c r="M47" s="257">
        <f t="shared" si="34"/>
        <v>0.19952623149688781</v>
      </c>
      <c r="N47" s="257">
        <f t="shared" si="34"/>
        <v>0.79031459086447087</v>
      </c>
      <c r="O47" s="257">
        <f t="shared" si="34"/>
        <v>0.295665056508294</v>
      </c>
      <c r="P47" s="257">
        <f t="shared" si="34"/>
        <v>0.81283051616409951</v>
      </c>
      <c r="Q47" s="257">
        <f t="shared" si="34"/>
        <v>1.204481128573176</v>
      </c>
      <c r="R47" s="257">
        <f t="shared" si="34"/>
        <v>3.3113112148259152</v>
      </c>
      <c r="S47" s="257">
        <f t="shared" si="34"/>
        <v>13.489628825916535</v>
      </c>
      <c r="T47" s="257">
        <f t="shared" si="34"/>
        <v>4.9068185676795206</v>
      </c>
      <c r="U47" s="257">
        <f t="shared" si="34"/>
        <v>19.989411112356592</v>
      </c>
      <c r="V47" s="257">
        <f t="shared" si="34"/>
        <v>54.95408738576252</v>
      </c>
      <c r="W47" s="257">
        <f t="shared" si="34"/>
        <v>223.87211385683432</v>
      </c>
      <c r="X47" s="257">
        <f t="shared" si="34"/>
        <v>81.432918520924716</v>
      </c>
      <c r="Y47" s="258">
        <f t="shared" si="34"/>
        <v>912.01083935590987</v>
      </c>
      <c r="Z47" s="49" t="s">
        <v>107</v>
      </c>
      <c r="AA47" s="50" t="s">
        <v>107</v>
      </c>
      <c r="AB47" s="2"/>
    </row>
    <row r="48" spans="1:28">
      <c r="A48" s="107" t="s">
        <v>98</v>
      </c>
      <c r="B48" s="5" t="s">
        <v>95</v>
      </c>
      <c r="C48" s="28">
        <v>8</v>
      </c>
      <c r="D48" s="262">
        <f t="shared" ref="D48:Y48" si="35">IF(D$4&lt;$AB$18,0,10^(0.0088*D$4-4.73-0.8))</f>
        <v>0</v>
      </c>
      <c r="E48" s="263">
        <f t="shared" si="35"/>
        <v>0</v>
      </c>
      <c r="F48" s="263">
        <f t="shared" si="35"/>
        <v>0</v>
      </c>
      <c r="G48" s="263">
        <f t="shared" si="35"/>
        <v>0</v>
      </c>
      <c r="H48" s="263">
        <f t="shared" si="35"/>
        <v>0</v>
      </c>
      <c r="I48" s="263">
        <f t="shared" si="35"/>
        <v>0</v>
      </c>
      <c r="J48" s="263">
        <f t="shared" si="35"/>
        <v>9.7723722095580858E-3</v>
      </c>
      <c r="K48" s="263">
        <f t="shared" si="35"/>
        <v>1.7234552051091607E-2</v>
      </c>
      <c r="L48" s="263">
        <f t="shared" si="35"/>
        <v>1.2977767816857801E-2</v>
      </c>
      <c r="M48" s="263">
        <f t="shared" si="35"/>
        <v>2.6915348039269142E-2</v>
      </c>
      <c r="N48" s="263">
        <f t="shared" si="35"/>
        <v>7.2644041859247596E-2</v>
      </c>
      <c r="O48" s="263">
        <f t="shared" si="35"/>
        <v>3.5743740626448084E-2</v>
      </c>
      <c r="P48" s="263">
        <f t="shared" si="35"/>
        <v>7.4131024130091733E-2</v>
      </c>
      <c r="Q48" s="263">
        <f t="shared" si="35"/>
        <v>9.8446436398037754E-2</v>
      </c>
      <c r="R48" s="263">
        <f t="shared" si="35"/>
        <v>0.20417379446695261</v>
      </c>
      <c r="S48" s="263">
        <f t="shared" si="35"/>
        <v>0.56234132519034874</v>
      </c>
      <c r="T48" s="263">
        <f t="shared" si="35"/>
        <v>0.271144000868831</v>
      </c>
      <c r="U48" s="263">
        <f t="shared" si="35"/>
        <v>0.74679258993088238</v>
      </c>
      <c r="V48" s="263">
        <f t="shared" si="35"/>
        <v>1.5488166189124819</v>
      </c>
      <c r="W48" s="263">
        <f t="shared" si="35"/>
        <v>4.2657951880159235</v>
      </c>
      <c r="X48" s="263">
        <f t="shared" si="35"/>
        <v>2.056837586627887</v>
      </c>
      <c r="Y48" s="264">
        <f t="shared" si="35"/>
        <v>11.748975549395301</v>
      </c>
      <c r="Z48" s="48" t="s">
        <v>107</v>
      </c>
      <c r="AA48" s="47" t="s">
        <v>107</v>
      </c>
      <c r="AB48" s="2"/>
    </row>
    <row r="49" spans="1:32">
      <c r="A49" s="106"/>
      <c r="B49" s="5" t="s">
        <v>96</v>
      </c>
      <c r="C49" s="28">
        <v>9</v>
      </c>
      <c r="D49" s="265">
        <f t="shared" ref="D49:Y49" si="36">IF(D$4&lt;$AB$19,0,10^(0.0125*D$4-5.58-0.7))</f>
        <v>0</v>
      </c>
      <c r="E49" s="266">
        <f t="shared" si="36"/>
        <v>0</v>
      </c>
      <c r="F49" s="266">
        <f t="shared" si="36"/>
        <v>0</v>
      </c>
      <c r="G49" s="266">
        <f t="shared" si="36"/>
        <v>0</v>
      </c>
      <c r="H49" s="266">
        <f t="shared" si="36"/>
        <v>1.2445146117713846E-2</v>
      </c>
      <c r="I49" s="266">
        <f t="shared" si="36"/>
        <v>1.8620871366628659E-2</v>
      </c>
      <c r="J49" s="266">
        <f t="shared" si="36"/>
        <v>5.2480746024977244E-2</v>
      </c>
      <c r="K49" s="266">
        <f t="shared" si="36"/>
        <v>0.11748975549395306</v>
      </c>
      <c r="L49" s="266">
        <f t="shared" si="36"/>
        <v>7.8523563461007279E-2</v>
      </c>
      <c r="M49" s="266">
        <f t="shared" si="36"/>
        <v>0.22130947096056372</v>
      </c>
      <c r="N49" s="266">
        <f t="shared" si="36"/>
        <v>0.9067759645839063</v>
      </c>
      <c r="O49" s="266">
        <f t="shared" si="36"/>
        <v>0.33113112148259161</v>
      </c>
      <c r="P49" s="266">
        <f t="shared" si="36"/>
        <v>0.93325430079699101</v>
      </c>
      <c r="Q49" s="266">
        <f t="shared" si="36"/>
        <v>1.3963683610559399</v>
      </c>
      <c r="R49" s="266">
        <f t="shared" si="36"/>
        <v>3.9355007545577751</v>
      </c>
      <c r="S49" s="266">
        <f t="shared" si="36"/>
        <v>16.595869074375614</v>
      </c>
      <c r="T49" s="266">
        <f t="shared" si="36"/>
        <v>5.8884365535559002</v>
      </c>
      <c r="U49" s="266">
        <f t="shared" si="36"/>
        <v>24.831331052955747</v>
      </c>
      <c r="V49" s="266">
        <f t="shared" si="36"/>
        <v>69.984199600227356</v>
      </c>
      <c r="W49" s="266">
        <f t="shared" si="36"/>
        <v>295.12092266663871</v>
      </c>
      <c r="X49" s="266">
        <f t="shared" si="36"/>
        <v>104.71285480509007</v>
      </c>
      <c r="Y49" s="267">
        <f t="shared" si="36"/>
        <v>1244.5146117713848</v>
      </c>
      <c r="Z49" s="48" t="s">
        <v>107</v>
      </c>
      <c r="AA49" s="47" t="s">
        <v>107</v>
      </c>
      <c r="AB49" s="2"/>
    </row>
    <row r="50" spans="1:32">
      <c r="A50" s="106"/>
      <c r="B50" s="5" t="s">
        <v>110</v>
      </c>
      <c r="C50" s="28">
        <v>10</v>
      </c>
      <c r="D50" s="253">
        <f t="shared" ref="D50:Y50" si="37">IF(D$4&lt;$AB$20,0,10^(0.0122*D$4-5.69-0.5))</f>
        <v>0</v>
      </c>
      <c r="E50" s="254">
        <f t="shared" si="37"/>
        <v>0</v>
      </c>
      <c r="F50" s="254">
        <f t="shared" si="37"/>
        <v>0</v>
      </c>
      <c r="G50" s="254">
        <f t="shared" si="37"/>
        <v>0</v>
      </c>
      <c r="H50" s="254">
        <f t="shared" si="37"/>
        <v>1.2022644346174125E-2</v>
      </c>
      <c r="I50" s="254">
        <f t="shared" si="37"/>
        <v>1.7815581406628929E-2</v>
      </c>
      <c r="J50" s="254">
        <f t="shared" si="37"/>
        <v>4.8977881936844561E-2</v>
      </c>
      <c r="K50" s="254">
        <f t="shared" si="37"/>
        <v>0.10754742089727889</v>
      </c>
      <c r="L50" s="254">
        <f t="shared" si="37"/>
        <v>7.2577165026742843E-2</v>
      </c>
      <c r="M50" s="254">
        <f t="shared" si="37"/>
        <v>0.19952623149688781</v>
      </c>
      <c r="N50" s="254">
        <f t="shared" si="37"/>
        <v>0.79031459086447087</v>
      </c>
      <c r="O50" s="254">
        <f t="shared" si="37"/>
        <v>0.295665056508294</v>
      </c>
      <c r="P50" s="254">
        <f t="shared" si="37"/>
        <v>0.81283051616409951</v>
      </c>
      <c r="Q50" s="254">
        <f t="shared" si="37"/>
        <v>1.204481128573176</v>
      </c>
      <c r="R50" s="254">
        <f t="shared" si="37"/>
        <v>3.3113112148259152</v>
      </c>
      <c r="S50" s="254">
        <f t="shared" si="37"/>
        <v>13.489628825916535</v>
      </c>
      <c r="T50" s="254">
        <f t="shared" si="37"/>
        <v>4.9068185676795206</v>
      </c>
      <c r="U50" s="254">
        <f t="shared" si="37"/>
        <v>19.989411112356592</v>
      </c>
      <c r="V50" s="254">
        <f t="shared" si="37"/>
        <v>54.95408738576252</v>
      </c>
      <c r="W50" s="254">
        <f t="shared" si="37"/>
        <v>223.87211385683432</v>
      </c>
      <c r="X50" s="254">
        <f t="shared" si="37"/>
        <v>81.432918520924716</v>
      </c>
      <c r="Y50" s="255">
        <f t="shared" si="37"/>
        <v>912.01083935590987</v>
      </c>
      <c r="Z50" s="48" t="s">
        <v>107</v>
      </c>
      <c r="AA50" s="47" t="s">
        <v>107</v>
      </c>
      <c r="AB50" s="2"/>
    </row>
    <row r="51" spans="1:32">
      <c r="A51" s="106"/>
      <c r="B51" s="5" t="s">
        <v>101</v>
      </c>
      <c r="C51" s="28">
        <v>11</v>
      </c>
      <c r="D51" s="268">
        <f t="shared" ref="D51:Y51" si="38">IF(D$4&lt;$AB$21,0,10^(0.0109*D$4-5.68-0.5))</f>
        <v>0</v>
      </c>
      <c r="E51" s="269">
        <f t="shared" si="38"/>
        <v>0</v>
      </c>
      <c r="F51" s="269">
        <f t="shared" si="38"/>
        <v>0</v>
      </c>
      <c r="G51" s="269">
        <f t="shared" si="38"/>
        <v>0</v>
      </c>
      <c r="H51" s="269">
        <f t="shared" si="38"/>
        <v>0</v>
      </c>
      <c r="I51" s="269">
        <f t="shared" si="38"/>
        <v>0</v>
      </c>
      <c r="J51" s="269">
        <f t="shared" si="38"/>
        <v>0</v>
      </c>
      <c r="K51" s="269">
        <f t="shared" si="38"/>
        <v>3.056328280365966E-2</v>
      </c>
      <c r="L51" s="269">
        <f t="shared" si="38"/>
        <v>2.1507998622981177E-2</v>
      </c>
      <c r="M51" s="269">
        <f t="shared" si="38"/>
        <v>5.3088444423098895E-2</v>
      </c>
      <c r="N51" s="269">
        <f t="shared" si="38"/>
        <v>0.1815933748835345</v>
      </c>
      <c r="O51" s="269">
        <f t="shared" si="38"/>
        <v>7.543970821979902E-2</v>
      </c>
      <c r="P51" s="269">
        <f t="shared" si="38"/>
        <v>0.18620871366628691</v>
      </c>
      <c r="Q51" s="269">
        <f t="shared" si="38"/>
        <v>0.26460619028529447</v>
      </c>
      <c r="R51" s="269">
        <f t="shared" si="38"/>
        <v>0.65313055264747299</v>
      </c>
      <c r="S51" s="269">
        <f t="shared" si="38"/>
        <v>2.2908676527677749</v>
      </c>
      <c r="T51" s="269">
        <f t="shared" si="38"/>
        <v>0.92811117102016849</v>
      </c>
      <c r="U51" s="269">
        <f t="shared" si="38"/>
        <v>3.2553673247163641</v>
      </c>
      <c r="V51" s="269">
        <f t="shared" si="38"/>
        <v>8.0352612218561781</v>
      </c>
      <c r="W51" s="269">
        <f t="shared" si="38"/>
        <v>28.183829312644562</v>
      </c>
      <c r="X51" s="269">
        <f t="shared" si="38"/>
        <v>11.418261895482223</v>
      </c>
      <c r="Y51" s="270">
        <f t="shared" si="38"/>
        <v>98.855309465694191</v>
      </c>
      <c r="Z51" s="48" t="s">
        <v>107</v>
      </c>
      <c r="AA51" s="47" t="s">
        <v>107</v>
      </c>
      <c r="AB51" s="2"/>
    </row>
    <row r="52" spans="1:32">
      <c r="A52" s="106"/>
      <c r="B52" s="11" t="s">
        <v>121</v>
      </c>
      <c r="C52" s="29">
        <v>12</v>
      </c>
      <c r="D52" s="271">
        <f t="shared" ref="D52:Y52" si="39">IF(D$4&lt;$AB$22,0,10^(0.0109*D$4-5.68-0.5))</f>
        <v>0</v>
      </c>
      <c r="E52" s="272">
        <f t="shared" si="39"/>
        <v>0</v>
      </c>
      <c r="F52" s="272">
        <f t="shared" si="39"/>
        <v>0</v>
      </c>
      <c r="G52" s="272">
        <f t="shared" si="39"/>
        <v>0</v>
      </c>
      <c r="H52" s="272">
        <f t="shared" si="39"/>
        <v>0</v>
      </c>
      <c r="I52" s="272">
        <f t="shared" si="39"/>
        <v>0</v>
      </c>
      <c r="J52" s="272">
        <f t="shared" si="39"/>
        <v>0</v>
      </c>
      <c r="K52" s="272">
        <f t="shared" si="39"/>
        <v>3.056328280365966E-2</v>
      </c>
      <c r="L52" s="272">
        <f t="shared" si="39"/>
        <v>2.1507998622981177E-2</v>
      </c>
      <c r="M52" s="272">
        <f t="shared" si="39"/>
        <v>5.3088444423098895E-2</v>
      </c>
      <c r="N52" s="272">
        <f t="shared" si="39"/>
        <v>0.1815933748835345</v>
      </c>
      <c r="O52" s="272">
        <f t="shared" si="39"/>
        <v>7.543970821979902E-2</v>
      </c>
      <c r="P52" s="272">
        <f t="shared" si="39"/>
        <v>0.18620871366628691</v>
      </c>
      <c r="Q52" s="272">
        <f t="shared" si="39"/>
        <v>0.26460619028529447</v>
      </c>
      <c r="R52" s="272">
        <f t="shared" si="39"/>
        <v>0.65313055264747299</v>
      </c>
      <c r="S52" s="272">
        <f t="shared" si="39"/>
        <v>2.2908676527677749</v>
      </c>
      <c r="T52" s="272">
        <f t="shared" si="39"/>
        <v>0.92811117102016849</v>
      </c>
      <c r="U52" s="272">
        <f t="shared" si="39"/>
        <v>3.2553673247163641</v>
      </c>
      <c r="V52" s="272">
        <f t="shared" si="39"/>
        <v>8.0352612218561781</v>
      </c>
      <c r="W52" s="272">
        <f t="shared" si="39"/>
        <v>28.183829312644562</v>
      </c>
      <c r="X52" s="272">
        <f t="shared" si="39"/>
        <v>11.418261895482223</v>
      </c>
      <c r="Y52" s="273">
        <f t="shared" si="39"/>
        <v>98.855309465694191</v>
      </c>
      <c r="Z52" s="49" t="s">
        <v>107</v>
      </c>
      <c r="AA52" s="50" t="s">
        <v>107</v>
      </c>
      <c r="AB52" s="2"/>
    </row>
    <row r="53" spans="1:32">
      <c r="A53" s="2"/>
      <c r="B53" s="2"/>
      <c r="C53" s="2"/>
      <c r="D53" s="8"/>
      <c r="E53" s="8"/>
      <c r="F53" s="8"/>
      <c r="G53" s="2"/>
      <c r="H53" s="2"/>
      <c r="I53" s="2"/>
      <c r="J53" s="2"/>
      <c r="K53" s="2"/>
      <c r="L53" s="2"/>
      <c r="M53" s="2"/>
      <c r="N53" s="2"/>
      <c r="O53" s="2"/>
      <c r="P53" s="2"/>
      <c r="Q53" s="2"/>
      <c r="R53" s="2"/>
      <c r="S53" s="2"/>
      <c r="T53" s="2"/>
      <c r="U53" s="2"/>
      <c r="V53" s="2"/>
      <c r="W53" s="2"/>
      <c r="X53" s="2"/>
      <c r="Y53" s="2"/>
      <c r="Z53" s="2"/>
      <c r="AA53" s="2"/>
      <c r="AB53" s="2"/>
    </row>
    <row r="54" spans="1:32">
      <c r="A54" s="36"/>
      <c r="B54" s="2"/>
      <c r="C54" s="2"/>
      <c r="D54" s="46"/>
      <c r="E54" s="8"/>
      <c r="F54" s="8"/>
      <c r="G54" s="2"/>
      <c r="H54" s="2"/>
      <c r="I54" s="2"/>
      <c r="J54" s="2"/>
      <c r="K54" s="2"/>
      <c r="L54" s="2"/>
      <c r="M54" s="2"/>
      <c r="N54" s="2"/>
      <c r="O54" s="2"/>
      <c r="P54" s="2"/>
      <c r="Q54" s="2"/>
      <c r="R54" s="2"/>
      <c r="S54" s="2"/>
      <c r="T54" s="2"/>
      <c r="U54" s="2"/>
      <c r="V54" s="2"/>
      <c r="W54" s="2"/>
      <c r="X54" s="2"/>
      <c r="Y54" s="2"/>
      <c r="Z54" s="2"/>
      <c r="AA54" s="2"/>
      <c r="AB54" s="2"/>
    </row>
    <row r="55" spans="1:32">
      <c r="A55" s="2"/>
      <c r="B55" s="274"/>
      <c r="C55" s="2"/>
      <c r="D55" s="46"/>
      <c r="E55" s="275"/>
      <c r="F55" s="275"/>
      <c r="G55" s="733"/>
      <c r="H55" s="733"/>
      <c r="I55" s="733"/>
      <c r="J55" s="733"/>
      <c r="K55" s="733"/>
      <c r="L55" s="733"/>
      <c r="M55" s="733"/>
      <c r="N55" s="733"/>
      <c r="O55" s="733"/>
      <c r="P55" s="733"/>
      <c r="Q55" s="733"/>
      <c r="R55" s="733"/>
      <c r="S55" s="2"/>
      <c r="T55" s="2"/>
      <c r="U55" s="2"/>
      <c r="V55" s="2"/>
      <c r="W55" s="2"/>
      <c r="X55" s="2"/>
      <c r="Y55" s="2"/>
      <c r="Z55" s="2"/>
      <c r="AA55" s="2"/>
      <c r="AB55" s="2"/>
    </row>
    <row r="56" spans="1:32">
      <c r="A56" s="2"/>
      <c r="B56" s="276"/>
      <c r="C56" s="277"/>
      <c r="D56" s="46"/>
      <c r="E56" s="275"/>
      <c r="F56" s="275"/>
      <c r="G56" s="275"/>
      <c r="H56" s="275"/>
      <c r="I56" s="275"/>
      <c r="J56" s="275"/>
      <c r="K56" s="275"/>
      <c r="L56" s="275"/>
      <c r="M56" s="275"/>
      <c r="N56" s="275"/>
      <c r="O56" s="275"/>
      <c r="P56" s="275"/>
      <c r="Q56" s="275"/>
      <c r="R56" s="275"/>
      <c r="S56" s="2"/>
      <c r="T56" s="2"/>
      <c r="U56" s="2"/>
      <c r="V56" s="2"/>
      <c r="W56" s="2"/>
      <c r="X56" s="2"/>
      <c r="Y56" s="2"/>
      <c r="Z56" s="2"/>
      <c r="AA56" s="2"/>
      <c r="AB56" s="2"/>
    </row>
    <row r="57" spans="1:32">
      <c r="A57" s="2"/>
      <c r="B57" s="2"/>
      <c r="C57" s="8"/>
      <c r="D57" s="2"/>
      <c r="E57" s="278"/>
      <c r="F57" s="8"/>
      <c r="G57" s="279"/>
      <c r="H57" s="279"/>
      <c r="I57" s="279"/>
      <c r="J57" s="279"/>
      <c r="K57" s="279"/>
      <c r="L57" s="279"/>
      <c r="M57" s="279"/>
      <c r="N57" s="279"/>
      <c r="O57" s="279"/>
      <c r="P57" s="279"/>
      <c r="Q57" s="279"/>
      <c r="R57" s="279"/>
      <c r="S57" s="2"/>
      <c r="T57" s="2"/>
      <c r="U57" s="2"/>
      <c r="V57" s="2"/>
      <c r="W57" s="2"/>
      <c r="X57" s="2"/>
      <c r="Y57" s="2"/>
      <c r="Z57" s="2"/>
      <c r="AA57" s="2"/>
      <c r="AB57" s="2"/>
    </row>
    <row r="58" spans="1:32">
      <c r="A58" s="2"/>
      <c r="B58" s="2"/>
      <c r="C58" s="8"/>
      <c r="D58" s="2"/>
      <c r="E58" s="278"/>
      <c r="F58" s="8"/>
      <c r="G58" s="279"/>
      <c r="H58" s="279"/>
      <c r="I58" s="279"/>
      <c r="J58" s="279"/>
      <c r="K58" s="279"/>
      <c r="L58" s="279"/>
      <c r="M58" s="279"/>
      <c r="N58" s="279"/>
      <c r="O58" s="279"/>
      <c r="P58" s="279"/>
      <c r="Q58" s="279"/>
      <c r="R58" s="279"/>
      <c r="S58" s="2"/>
      <c r="T58" s="2"/>
      <c r="U58" s="2"/>
      <c r="V58" s="2"/>
      <c r="W58" s="2"/>
      <c r="X58" s="2"/>
      <c r="Y58" s="2"/>
      <c r="Z58" s="2"/>
      <c r="AA58" s="2"/>
      <c r="AB58" s="2"/>
      <c r="AC58" s="657"/>
      <c r="AD58" s="657"/>
      <c r="AE58" s="657"/>
      <c r="AF58" s="657"/>
    </row>
    <row r="59" spans="1:32">
      <c r="A59" s="2"/>
      <c r="B59" s="2"/>
      <c r="C59" s="8"/>
      <c r="D59" s="2"/>
      <c r="E59" s="278"/>
      <c r="F59" s="8"/>
      <c r="G59" s="279"/>
      <c r="H59" s="279"/>
      <c r="I59" s="279"/>
      <c r="J59" s="279"/>
      <c r="K59" s="279"/>
      <c r="L59" s="279"/>
      <c r="M59" s="279"/>
      <c r="N59" s="279"/>
      <c r="O59" s="279"/>
      <c r="P59" s="279"/>
      <c r="Q59" s="279"/>
      <c r="R59" s="279"/>
      <c r="S59" s="2"/>
      <c r="T59" s="2"/>
      <c r="U59" s="2"/>
      <c r="V59" s="2"/>
      <c r="W59" s="2"/>
      <c r="X59" s="2"/>
      <c r="Y59" s="2"/>
      <c r="Z59" s="2"/>
      <c r="AA59" s="2"/>
      <c r="AB59" s="2"/>
      <c r="AC59" s="657"/>
      <c r="AD59" s="657"/>
      <c r="AE59" s="657"/>
      <c r="AF59" s="657"/>
    </row>
    <row r="60" spans="1:32">
      <c r="A60" s="2"/>
      <c r="B60" s="2"/>
      <c r="C60" s="8"/>
      <c r="D60" s="2"/>
      <c r="E60" s="278"/>
      <c r="F60" s="8"/>
      <c r="G60" s="279"/>
      <c r="H60" s="279"/>
      <c r="I60" s="279"/>
      <c r="J60" s="279"/>
      <c r="K60" s="279"/>
      <c r="L60" s="279"/>
      <c r="M60" s="279"/>
      <c r="N60" s="279"/>
      <c r="O60" s="279"/>
      <c r="P60" s="279"/>
      <c r="Q60" s="279"/>
      <c r="R60" s="279"/>
      <c r="S60" s="2"/>
      <c r="T60" s="2"/>
      <c r="U60" s="2"/>
      <c r="V60" s="2"/>
      <c r="W60" s="2"/>
      <c r="X60" s="2"/>
      <c r="Y60" s="2"/>
      <c r="Z60" s="2"/>
      <c r="AA60" s="323" t="str">
        <f>Intro!A33</f>
        <v>PFASen (Ver. 2.4) - 2025-10-09</v>
      </c>
      <c r="AB60" s="2"/>
      <c r="AC60" s="657"/>
      <c r="AD60" s="657"/>
      <c r="AE60" s="657"/>
      <c r="AF60" s="657"/>
    </row>
    <row r="61" spans="1:32">
      <c r="A61" s="2"/>
      <c r="B61" s="2"/>
      <c r="C61" s="8"/>
      <c r="D61" s="2"/>
      <c r="E61" s="278"/>
      <c r="F61" s="8"/>
      <c r="G61" s="279"/>
      <c r="H61" s="279"/>
      <c r="I61" s="279"/>
      <c r="J61" s="279"/>
      <c r="K61" s="279"/>
      <c r="L61" s="279"/>
      <c r="M61" s="279"/>
      <c r="N61" s="279"/>
      <c r="O61" s="279"/>
      <c r="P61" s="279"/>
      <c r="Q61" s="279"/>
      <c r="R61" s="279"/>
      <c r="S61" s="2"/>
      <c r="T61" s="2"/>
      <c r="U61" s="2"/>
      <c r="V61" s="2"/>
      <c r="W61" s="2"/>
      <c r="X61" s="2"/>
      <c r="Y61" s="2"/>
      <c r="Z61" s="2"/>
      <c r="AA61" s="323"/>
      <c r="AB61" s="2"/>
      <c r="AC61" s="657"/>
      <c r="AD61" s="657"/>
      <c r="AE61" s="657"/>
      <c r="AF61" s="657"/>
    </row>
    <row r="62" spans="1:32">
      <c r="D62" s="112"/>
      <c r="E62" s="112"/>
      <c r="F62" s="112"/>
      <c r="AC62" s="657"/>
      <c r="AD62" s="657"/>
      <c r="AE62" s="657"/>
      <c r="AF62" s="657"/>
    </row>
    <row r="63" spans="1:32">
      <c r="D63" s="112"/>
      <c r="E63" s="112"/>
      <c r="F63" s="112"/>
      <c r="AC63" s="657"/>
      <c r="AD63" s="657"/>
      <c r="AE63" s="657"/>
      <c r="AF63" s="657"/>
    </row>
    <row r="64" spans="1:32">
      <c r="D64" s="112"/>
      <c r="E64" s="112"/>
      <c r="F64" s="112"/>
      <c r="AC64" s="657"/>
      <c r="AD64" s="657"/>
      <c r="AE64" s="657"/>
      <c r="AF64" s="657"/>
    </row>
    <row r="65" spans="4:32">
      <c r="D65" s="112"/>
      <c r="E65" s="112"/>
      <c r="F65" s="112"/>
      <c r="AC65" s="657"/>
      <c r="AD65" s="657"/>
      <c r="AE65" s="657"/>
      <c r="AF65" s="657"/>
    </row>
    <row r="66" spans="4:32">
      <c r="D66" s="112"/>
      <c r="E66" s="112"/>
      <c r="F66" s="112"/>
      <c r="AC66" s="657"/>
      <c r="AD66" s="657"/>
      <c r="AE66" s="657"/>
      <c r="AF66" s="657"/>
    </row>
    <row r="67" spans="4:32">
      <c r="D67" s="112"/>
      <c r="E67" s="112"/>
      <c r="F67" s="112"/>
    </row>
    <row r="68" spans="4:32">
      <c r="D68" s="112"/>
      <c r="E68" s="112"/>
      <c r="F68" s="112"/>
    </row>
    <row r="69" spans="4:32">
      <c r="D69" s="112"/>
      <c r="E69" s="112"/>
      <c r="F69" s="112"/>
    </row>
    <row r="70" spans="4:32">
      <c r="D70" s="112"/>
      <c r="E70" s="112"/>
      <c r="F70" s="112"/>
    </row>
    <row r="71" spans="4:32">
      <c r="D71" s="112"/>
      <c r="E71" s="112"/>
      <c r="F71" s="112"/>
    </row>
    <row r="72" spans="4:32">
      <c r="D72" s="112"/>
      <c r="E72" s="112"/>
      <c r="F72" s="112"/>
    </row>
    <row r="73" spans="4:32">
      <c r="D73" s="112"/>
      <c r="E73" s="112"/>
      <c r="F73" s="112"/>
    </row>
    <row r="74" spans="4:32">
      <c r="D74" s="112"/>
      <c r="E74" s="112"/>
      <c r="F74" s="112"/>
    </row>
    <row r="75" spans="4:32">
      <c r="D75" s="112"/>
      <c r="E75" s="112"/>
      <c r="F75" s="112"/>
    </row>
    <row r="76" spans="4:32">
      <c r="D76" s="112"/>
      <c r="E76" s="112"/>
      <c r="F76" s="112"/>
    </row>
    <row r="77" spans="4:32">
      <c r="D77" s="112"/>
      <c r="E77" s="112"/>
      <c r="F77" s="112"/>
    </row>
    <row r="78" spans="4:32">
      <c r="D78" s="112"/>
      <c r="E78" s="112"/>
      <c r="F78" s="112"/>
    </row>
    <row r="79" spans="4:32">
      <c r="D79" s="112"/>
      <c r="E79" s="112"/>
      <c r="F79" s="112"/>
    </row>
    <row r="80" spans="4:32">
      <c r="D80" s="112"/>
      <c r="E80" s="112"/>
      <c r="F80" s="112"/>
    </row>
    <row r="81" spans="4:6">
      <c r="D81" s="112"/>
      <c r="E81" s="112"/>
      <c r="F81" s="112"/>
    </row>
    <row r="82" spans="4:6">
      <c r="D82" s="112"/>
      <c r="E82" s="112"/>
      <c r="F82" s="112"/>
    </row>
    <row r="83" spans="4:6">
      <c r="D83" s="112"/>
      <c r="E83" s="112"/>
      <c r="F83" s="112"/>
    </row>
    <row r="84" spans="4:6">
      <c r="D84" s="112"/>
      <c r="E84" s="112"/>
      <c r="F84" s="112"/>
    </row>
    <row r="85" spans="4:6">
      <c r="D85" s="112"/>
      <c r="E85" s="112"/>
      <c r="F85" s="112"/>
    </row>
    <row r="86" spans="4:6">
      <c r="D86" s="112"/>
      <c r="E86" s="112"/>
      <c r="F86" s="112"/>
    </row>
    <row r="87" spans="4:6">
      <c r="D87" s="112"/>
      <c r="E87" s="112"/>
      <c r="F87" s="112"/>
    </row>
    <row r="88" spans="4:6">
      <c r="D88" s="112"/>
      <c r="E88" s="112"/>
      <c r="F88" s="112"/>
    </row>
    <row r="89" spans="4:6">
      <c r="D89" s="112"/>
      <c r="E89" s="112"/>
      <c r="F89" s="112"/>
    </row>
    <row r="90" spans="4:6">
      <c r="D90" s="112"/>
      <c r="E90" s="112"/>
      <c r="F90" s="112"/>
    </row>
    <row r="91" spans="4:6">
      <c r="D91" s="112"/>
      <c r="E91" s="112"/>
      <c r="F91" s="112"/>
    </row>
    <row r="92" spans="4:6">
      <c r="D92" s="112"/>
      <c r="E92" s="112"/>
      <c r="F92" s="112"/>
    </row>
    <row r="93" spans="4:6">
      <c r="D93" s="112"/>
      <c r="E93" s="112"/>
      <c r="F93" s="112"/>
    </row>
    <row r="94" spans="4:6">
      <c r="D94" s="112"/>
      <c r="E94" s="112"/>
      <c r="F94" s="112"/>
    </row>
    <row r="95" spans="4:6">
      <c r="D95" s="112"/>
      <c r="E95" s="112"/>
      <c r="F95" s="112"/>
    </row>
    <row r="96" spans="4:6">
      <c r="D96" s="112"/>
      <c r="E96" s="112"/>
      <c r="F96" s="112"/>
    </row>
    <row r="97" spans="4:6">
      <c r="D97" s="112"/>
      <c r="E97" s="112"/>
      <c r="F97" s="112"/>
    </row>
    <row r="98" spans="4:6">
      <c r="D98" s="112"/>
      <c r="E98" s="112"/>
      <c r="F98" s="112"/>
    </row>
    <row r="99" spans="4:6">
      <c r="D99" s="112"/>
      <c r="E99" s="112"/>
      <c r="F99" s="112"/>
    </row>
    <row r="100" spans="4:6">
      <c r="D100" s="112"/>
      <c r="E100" s="112"/>
      <c r="F100" s="112"/>
    </row>
    <row r="101" spans="4:6">
      <c r="D101" s="112"/>
      <c r="E101" s="112"/>
      <c r="F101" s="112"/>
    </row>
    <row r="102" spans="4:6">
      <c r="D102" s="112"/>
      <c r="E102" s="112"/>
      <c r="F102" s="112"/>
    </row>
    <row r="103" spans="4:6">
      <c r="D103" s="112"/>
      <c r="E103" s="112"/>
      <c r="F103" s="112"/>
    </row>
    <row r="104" spans="4:6">
      <c r="D104" s="112"/>
      <c r="E104" s="112"/>
      <c r="F104" s="112"/>
    </row>
    <row r="105" spans="4:6">
      <c r="D105" s="112"/>
      <c r="E105" s="112"/>
      <c r="F105" s="112"/>
    </row>
    <row r="106" spans="4:6">
      <c r="D106" s="112"/>
      <c r="E106" s="112"/>
      <c r="F106" s="112"/>
    </row>
    <row r="107" spans="4:6">
      <c r="D107" s="112"/>
      <c r="E107" s="112"/>
      <c r="F107" s="112"/>
    </row>
    <row r="108" spans="4:6">
      <c r="D108" s="112"/>
      <c r="E108" s="112"/>
      <c r="F108" s="112"/>
    </row>
    <row r="109" spans="4:6">
      <c r="D109" s="112"/>
      <c r="E109" s="112"/>
      <c r="F109" s="112"/>
    </row>
    <row r="110" spans="4:6">
      <c r="D110" s="112"/>
      <c r="E110" s="112"/>
      <c r="F110" s="112"/>
    </row>
    <row r="111" spans="4:6">
      <c r="D111" s="112"/>
      <c r="E111" s="112"/>
      <c r="F111" s="112"/>
    </row>
    <row r="112" spans="4:6">
      <c r="D112" s="112"/>
      <c r="E112" s="112"/>
      <c r="F112" s="112"/>
    </row>
    <row r="113" spans="4:6">
      <c r="D113" s="112"/>
      <c r="E113" s="112"/>
      <c r="F113" s="112"/>
    </row>
    <row r="114" spans="4:6">
      <c r="D114" s="112"/>
      <c r="E114" s="112"/>
      <c r="F114" s="112"/>
    </row>
    <row r="115" spans="4:6">
      <c r="D115" s="112"/>
      <c r="E115" s="112"/>
      <c r="F115" s="112"/>
    </row>
    <row r="116" spans="4:6">
      <c r="D116" s="112"/>
      <c r="E116" s="112"/>
      <c r="F116" s="112"/>
    </row>
    <row r="117" spans="4:6">
      <c r="D117" s="112"/>
      <c r="E117" s="112"/>
      <c r="F117" s="112"/>
    </row>
    <row r="118" spans="4:6">
      <c r="D118" s="112"/>
      <c r="E118" s="112"/>
      <c r="F118" s="112"/>
    </row>
    <row r="119" spans="4:6">
      <c r="D119" s="112"/>
      <c r="E119" s="112"/>
      <c r="F119" s="112"/>
    </row>
    <row r="120" spans="4:6">
      <c r="D120" s="112"/>
      <c r="E120" s="112"/>
      <c r="F120" s="112"/>
    </row>
    <row r="121" spans="4:6">
      <c r="D121" s="112"/>
      <c r="E121" s="112"/>
      <c r="F121" s="112"/>
    </row>
    <row r="122" spans="4:6">
      <c r="D122" s="112"/>
      <c r="E122" s="112"/>
      <c r="F122" s="112"/>
    </row>
    <row r="123" spans="4:6">
      <c r="D123" s="112"/>
      <c r="E123" s="112"/>
      <c r="F123" s="112"/>
    </row>
    <row r="124" spans="4:6">
      <c r="D124" s="112"/>
      <c r="E124" s="112"/>
      <c r="F124" s="112"/>
    </row>
  </sheetData>
  <sheetProtection algorithmName="SHA-512" hashValue="qRAQOsZBVrfciLSAaowvwxjrP1RWeWDLTMDHpKy/sf4MfJGa05xi2W2lYsFYl3Ol71X/aBL240JEUe0wBP5KIw==" saltValue="sqyuNEXrjUv07zOEfvuKkQ==" spinCount="100000" sheet="1" objects="1" scenarios="1" selectLockedCells="1" selectUnlockedCells="1"/>
  <mergeCells count="6">
    <mergeCell ref="G55:R55"/>
    <mergeCell ref="B3:C3"/>
    <mergeCell ref="B4:C4"/>
    <mergeCell ref="B5:C5"/>
    <mergeCell ref="B6:C6"/>
    <mergeCell ref="B7:C7"/>
  </mergeCells>
  <pageMargins left="0.25" right="0.25" top="0.75" bottom="0.75" header="0.3" footer="0.3"/>
  <pageSetup paperSize="8" scale="72" orientation="landscape" verticalDpi="0" r:id="rId1"/>
  <rowBreaks count="1" manualBreakCount="1">
    <brk id="6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7435-6CEE-4570-93CA-6B21F21FA3BB}">
  <sheetPr codeName="Ark18">
    <tabColor theme="8"/>
  </sheetPr>
  <dimension ref="A1:H45"/>
  <sheetViews>
    <sheetView zoomScaleNormal="100" workbookViewId="0">
      <selection activeCell="A16" sqref="A16"/>
    </sheetView>
  </sheetViews>
  <sheetFormatPr defaultRowHeight="15"/>
  <cols>
    <col min="1" max="1" width="9.140625" style="127"/>
    <col min="2" max="2" width="76.85546875" style="127" bestFit="1" customWidth="1"/>
    <col min="3" max="3" width="76.42578125" style="127" bestFit="1" customWidth="1"/>
    <col min="4" max="16384" width="9.140625" style="127"/>
  </cols>
  <sheetData>
    <row r="1" spans="1:8" ht="22.5" customHeight="1">
      <c r="A1" s="62" t="s">
        <v>285</v>
      </c>
      <c r="B1" s="2"/>
      <c r="C1" s="2"/>
      <c r="D1" s="125"/>
      <c r="E1" s="125"/>
      <c r="F1" s="126"/>
      <c r="G1" s="126"/>
      <c r="H1" s="126"/>
    </row>
    <row r="2" spans="1:8">
      <c r="A2" s="570" t="s">
        <v>159</v>
      </c>
      <c r="B2" s="571" t="s">
        <v>162</v>
      </c>
      <c r="C2" s="572" t="s">
        <v>276</v>
      </c>
      <c r="D2" s="125"/>
      <c r="E2" s="125"/>
      <c r="F2" s="126"/>
      <c r="G2" s="126"/>
      <c r="H2" s="126"/>
    </row>
    <row r="3" spans="1:8" ht="54" customHeight="1">
      <c r="A3" s="573" t="s">
        <v>160</v>
      </c>
      <c r="B3" s="571" t="s">
        <v>170</v>
      </c>
      <c r="C3" s="571" t="s">
        <v>274</v>
      </c>
      <c r="D3" s="125"/>
      <c r="E3" s="125"/>
      <c r="F3" s="126"/>
      <c r="G3" s="126"/>
      <c r="H3" s="126"/>
    </row>
    <row r="4" spans="1:8" ht="30">
      <c r="A4" s="573" t="s">
        <v>161</v>
      </c>
      <c r="B4" s="571" t="s">
        <v>171</v>
      </c>
      <c r="C4" s="574" t="s">
        <v>176</v>
      </c>
      <c r="D4" s="125"/>
      <c r="E4" s="125"/>
      <c r="F4" s="126"/>
      <c r="G4" s="126"/>
      <c r="H4" s="126"/>
    </row>
    <row r="5" spans="1:8" ht="30" customHeight="1">
      <c r="A5" s="573" t="s">
        <v>172</v>
      </c>
      <c r="B5" s="571" t="s">
        <v>175</v>
      </c>
      <c r="C5" s="571" t="s">
        <v>179</v>
      </c>
      <c r="D5" s="125"/>
      <c r="E5" s="125"/>
      <c r="F5" s="126"/>
      <c r="G5" s="126"/>
      <c r="H5" s="126"/>
    </row>
    <row r="6" spans="1:8" ht="45">
      <c r="A6" s="573" t="s">
        <v>173</v>
      </c>
      <c r="B6" s="571" t="s">
        <v>177</v>
      </c>
      <c r="C6" s="574" t="s">
        <v>180</v>
      </c>
      <c r="D6" s="125"/>
      <c r="E6" s="125"/>
      <c r="F6" s="126"/>
      <c r="G6" s="126"/>
      <c r="H6" s="126"/>
    </row>
    <row r="7" spans="1:8" ht="45">
      <c r="A7" s="573" t="s">
        <v>174</v>
      </c>
      <c r="B7" s="571" t="s">
        <v>178</v>
      </c>
      <c r="C7" s="571" t="s">
        <v>181</v>
      </c>
      <c r="D7" s="125"/>
      <c r="E7" s="125"/>
      <c r="F7" s="126"/>
      <c r="G7" s="126"/>
      <c r="H7" s="126"/>
    </row>
    <row r="8" spans="1:8" ht="30">
      <c r="A8" s="573" t="s">
        <v>182</v>
      </c>
      <c r="B8" s="571" t="s">
        <v>184</v>
      </c>
      <c r="C8" s="571" t="s">
        <v>185</v>
      </c>
      <c r="D8" s="125"/>
      <c r="E8" s="125"/>
      <c r="F8" s="126"/>
      <c r="G8" s="126"/>
      <c r="H8" s="126"/>
    </row>
    <row r="9" spans="1:8" ht="30">
      <c r="A9" s="573" t="s">
        <v>183</v>
      </c>
      <c r="B9" s="571" t="s">
        <v>278</v>
      </c>
      <c r="C9" s="571" t="s">
        <v>275</v>
      </c>
      <c r="D9" s="125"/>
      <c r="E9" s="125"/>
      <c r="F9" s="126"/>
      <c r="G9" s="126"/>
      <c r="H9" s="126"/>
    </row>
    <row r="10" spans="1:8">
      <c r="A10" s="573" t="s">
        <v>277</v>
      </c>
      <c r="B10" s="571" t="s">
        <v>279</v>
      </c>
      <c r="C10" s="571" t="s">
        <v>280</v>
      </c>
      <c r="D10" s="125"/>
      <c r="E10" s="125"/>
      <c r="F10" s="126"/>
      <c r="G10" s="126"/>
      <c r="H10" s="126"/>
    </row>
    <row r="11" spans="1:8" ht="30">
      <c r="A11" s="573" t="s">
        <v>281</v>
      </c>
      <c r="B11" s="571" t="s">
        <v>282</v>
      </c>
      <c r="C11" s="571" t="s">
        <v>288</v>
      </c>
      <c r="D11" s="125"/>
      <c r="E11" s="125"/>
      <c r="F11" s="126"/>
      <c r="G11" s="126"/>
      <c r="H11" s="126"/>
    </row>
    <row r="12" spans="1:8" ht="30">
      <c r="A12" s="573" t="s">
        <v>286</v>
      </c>
      <c r="B12" s="571" t="s">
        <v>287</v>
      </c>
      <c r="C12" s="571" t="s">
        <v>289</v>
      </c>
      <c r="D12" s="125"/>
      <c r="E12" s="125"/>
      <c r="F12" s="126"/>
      <c r="G12" s="126"/>
      <c r="H12" s="126"/>
    </row>
    <row r="13" spans="1:8" ht="15.75">
      <c r="A13" s="573"/>
      <c r="B13" s="575"/>
      <c r="C13" s="572"/>
      <c r="D13" s="125"/>
      <c r="E13" s="125"/>
      <c r="F13" s="126"/>
      <c r="G13" s="126"/>
      <c r="H13" s="126"/>
    </row>
    <row r="14" spans="1:8">
      <c r="A14" s="568"/>
      <c r="B14" s="569"/>
      <c r="C14" s="592" t="str">
        <f>Intro!A33</f>
        <v>PFASen (Ver. 2.4) - 2025-10-09</v>
      </c>
      <c r="D14" s="125"/>
      <c r="E14" s="125"/>
      <c r="F14" s="126"/>
      <c r="G14" s="126"/>
      <c r="H14" s="126"/>
    </row>
    <row r="15" spans="1:8">
      <c r="A15" s="129"/>
      <c r="B15" s="130"/>
      <c r="C15" s="130"/>
      <c r="D15" s="125"/>
      <c r="E15" s="125"/>
      <c r="F15" s="126"/>
      <c r="G15" s="126"/>
      <c r="H15" s="126"/>
    </row>
    <row r="16" spans="1:8">
      <c r="A16" s="129"/>
      <c r="B16" s="130"/>
      <c r="C16" s="130"/>
      <c r="D16" s="125"/>
      <c r="E16" s="125"/>
      <c r="F16" s="126"/>
      <c r="G16" s="126"/>
      <c r="H16" s="126"/>
    </row>
    <row r="17" spans="1:8">
      <c r="A17" s="129"/>
      <c r="B17" s="130"/>
      <c r="C17" s="130"/>
      <c r="D17" s="125"/>
      <c r="E17" s="125"/>
      <c r="F17" s="126"/>
      <c r="G17" s="126"/>
      <c r="H17" s="126"/>
    </row>
    <row r="18" spans="1:8">
      <c r="A18" s="129"/>
      <c r="B18" s="130"/>
      <c r="C18" s="130"/>
      <c r="D18" s="125"/>
      <c r="E18" s="125"/>
      <c r="F18" s="126"/>
      <c r="G18" s="126"/>
      <c r="H18" s="126"/>
    </row>
    <row r="19" spans="1:8">
      <c r="A19" s="129"/>
      <c r="B19" s="130"/>
      <c r="C19" s="130"/>
      <c r="D19" s="125"/>
      <c r="E19" s="125"/>
      <c r="F19" s="126"/>
      <c r="G19" s="126"/>
      <c r="H19" s="126"/>
    </row>
    <row r="20" spans="1:8">
      <c r="A20" s="129"/>
      <c r="B20" s="130"/>
      <c r="C20" s="130"/>
      <c r="D20" s="125"/>
      <c r="E20" s="125"/>
      <c r="F20" s="126"/>
      <c r="G20" s="126"/>
      <c r="H20" s="126"/>
    </row>
    <row r="21" spans="1:8">
      <c r="A21" s="129"/>
      <c r="B21" s="130"/>
      <c r="C21" s="130"/>
      <c r="D21" s="125"/>
      <c r="E21" s="125"/>
      <c r="F21" s="126"/>
      <c r="G21" s="126"/>
      <c r="H21" s="126"/>
    </row>
    <row r="22" spans="1:8">
      <c r="A22" s="129"/>
      <c r="B22" s="130"/>
      <c r="C22" s="130"/>
      <c r="D22" s="125"/>
      <c r="E22" s="125"/>
      <c r="F22" s="126"/>
      <c r="G22" s="126"/>
      <c r="H22" s="126"/>
    </row>
    <row r="23" spans="1:8">
      <c r="A23" s="129"/>
      <c r="B23" s="130"/>
      <c r="C23" s="130"/>
      <c r="D23" s="125"/>
      <c r="E23" s="125"/>
      <c r="F23" s="126"/>
      <c r="G23" s="126"/>
      <c r="H23" s="126"/>
    </row>
    <row r="24" spans="1:8">
      <c r="A24" s="129"/>
      <c r="B24" s="130"/>
      <c r="C24" s="130"/>
      <c r="D24" s="125"/>
      <c r="E24" s="125"/>
      <c r="F24" s="126"/>
      <c r="G24" s="126"/>
      <c r="H24" s="126"/>
    </row>
    <row r="25" spans="1:8">
      <c r="A25" s="129"/>
      <c r="B25" s="130"/>
      <c r="C25" s="130"/>
      <c r="D25" s="125"/>
      <c r="E25" s="125"/>
      <c r="F25" s="126"/>
      <c r="G25" s="126"/>
      <c r="H25" s="126"/>
    </row>
    <row r="26" spans="1:8">
      <c r="A26" s="129"/>
      <c r="B26" s="130"/>
      <c r="C26" s="130"/>
      <c r="D26" s="125"/>
      <c r="E26" s="125"/>
      <c r="F26" s="126"/>
      <c r="G26" s="126"/>
      <c r="H26" s="126"/>
    </row>
    <row r="27" spans="1:8">
      <c r="A27" s="129"/>
      <c r="B27" s="130"/>
      <c r="C27" s="130"/>
      <c r="D27" s="125"/>
      <c r="E27" s="125"/>
      <c r="F27" s="126"/>
      <c r="G27" s="126"/>
      <c r="H27" s="126"/>
    </row>
    <row r="28" spans="1:8">
      <c r="A28" s="129"/>
      <c r="B28" s="130"/>
      <c r="C28" s="130"/>
      <c r="D28" s="125"/>
      <c r="E28" s="125"/>
      <c r="F28" s="126"/>
      <c r="G28" s="126"/>
      <c r="H28" s="126"/>
    </row>
    <row r="29" spans="1:8">
      <c r="A29" s="129"/>
      <c r="B29" s="130"/>
      <c r="C29" s="130"/>
      <c r="D29" s="125"/>
      <c r="E29" s="125"/>
      <c r="F29" s="126"/>
      <c r="G29" s="126"/>
      <c r="H29" s="126"/>
    </row>
    <row r="30" spans="1:8">
      <c r="A30" s="129"/>
      <c r="B30" s="130"/>
      <c r="C30" s="130"/>
      <c r="D30" s="125"/>
      <c r="E30" s="125"/>
      <c r="F30" s="126"/>
      <c r="G30" s="126"/>
      <c r="H30" s="126"/>
    </row>
    <row r="31" spans="1:8">
      <c r="A31" s="129"/>
      <c r="B31" s="130"/>
      <c r="C31" s="130"/>
      <c r="D31" s="125"/>
      <c r="E31" s="125"/>
      <c r="F31" s="126"/>
      <c r="G31" s="126"/>
      <c r="H31" s="126"/>
    </row>
    <row r="32" spans="1:8">
      <c r="A32" s="129"/>
      <c r="B32" s="130"/>
      <c r="C32" s="130"/>
      <c r="D32" s="125"/>
      <c r="E32" s="125"/>
      <c r="F32" s="126"/>
      <c r="G32" s="126"/>
      <c r="H32" s="126"/>
    </row>
    <row r="33" spans="1:8">
      <c r="A33" s="129"/>
      <c r="B33" s="130"/>
      <c r="C33" s="130"/>
      <c r="D33" s="125"/>
      <c r="E33" s="125"/>
      <c r="F33" s="126"/>
      <c r="G33" s="126"/>
      <c r="H33" s="126"/>
    </row>
    <row r="34" spans="1:8">
      <c r="A34" s="129"/>
      <c r="B34" s="130"/>
      <c r="C34" s="130"/>
      <c r="D34" s="125"/>
      <c r="E34" s="125"/>
      <c r="F34" s="126"/>
      <c r="G34" s="126"/>
      <c r="H34" s="126"/>
    </row>
    <row r="35" spans="1:8">
      <c r="A35" s="129"/>
      <c r="B35" s="130"/>
      <c r="C35" s="130"/>
      <c r="D35" s="125"/>
      <c r="E35" s="125"/>
      <c r="F35" s="126"/>
      <c r="G35" s="126"/>
      <c r="H35" s="126"/>
    </row>
    <row r="36" spans="1:8">
      <c r="A36" s="129"/>
      <c r="B36" s="130"/>
      <c r="C36" s="130"/>
      <c r="D36" s="125"/>
      <c r="E36" s="125"/>
      <c r="F36" s="126"/>
      <c r="G36" s="126"/>
      <c r="H36" s="126"/>
    </row>
    <row r="37" spans="1:8">
      <c r="A37" s="129"/>
      <c r="B37" s="130"/>
      <c r="C37" s="130"/>
      <c r="D37" s="125"/>
      <c r="E37" s="125"/>
      <c r="F37" s="126"/>
      <c r="G37" s="126"/>
      <c r="H37" s="126"/>
    </row>
    <row r="38" spans="1:8">
      <c r="A38" s="129"/>
      <c r="B38" s="130"/>
      <c r="C38" s="130"/>
      <c r="D38" s="125"/>
      <c r="E38" s="125"/>
      <c r="F38" s="126"/>
      <c r="G38" s="126"/>
      <c r="H38" s="126"/>
    </row>
    <row r="39" spans="1:8">
      <c r="A39" s="129"/>
      <c r="B39" s="130"/>
      <c r="C39" s="130"/>
      <c r="D39" s="125"/>
      <c r="E39" s="125"/>
      <c r="F39" s="126"/>
      <c r="G39" s="126"/>
      <c r="H39" s="126"/>
    </row>
    <row r="40" spans="1:8">
      <c r="A40" s="129"/>
      <c r="B40" s="130"/>
      <c r="C40" s="130"/>
      <c r="D40" s="125"/>
      <c r="E40" s="125"/>
      <c r="F40" s="126"/>
      <c r="G40" s="126"/>
      <c r="H40" s="126"/>
    </row>
    <row r="41" spans="1:8">
      <c r="A41" s="131"/>
      <c r="B41" s="132"/>
      <c r="C41" s="132"/>
      <c r="D41" s="128"/>
      <c r="E41" s="128"/>
    </row>
    <row r="42" spans="1:8">
      <c r="A42" s="133"/>
      <c r="B42" s="128"/>
      <c r="C42" s="128"/>
      <c r="D42" s="128"/>
      <c r="E42" s="128"/>
    </row>
    <row r="43" spans="1:8">
      <c r="A43" s="133"/>
      <c r="B43" s="128"/>
      <c r="C43" s="128"/>
      <c r="D43" s="128"/>
      <c r="E43" s="128"/>
    </row>
    <row r="44" spans="1:8">
      <c r="A44" s="133"/>
    </row>
    <row r="45" spans="1:8">
      <c r="A45" s="133"/>
    </row>
  </sheetData>
  <sheetProtection algorithmName="SHA-512" hashValue="EKuah6ixMheZUCZpmw/10mlqGELS1BLmdPZk9dZ+toFoSvALy6f3ptXNlg8IY5d0tGYUt6K1gv0dqCwl784IuA==" saltValue="RHxEmXq4ZpJETkGG+QMsGA==" spinCount="100000" sheet="1" objects="1" scenarios="1" selectLockedCells="1" selectUnlockedCells="1"/>
  <pageMargins left="0.25" right="0.25" top="0.75" bottom="0.75" header="0.3" footer="0.3"/>
  <pageSetup paperSize="9" scale="87" orientation="landscape" verticalDpi="0" r:id="rId1"/>
  <colBreaks count="1" manualBreakCount="1">
    <brk id="3"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774318A9C8C5E49B74BB16E019CEE5E" ma:contentTypeVersion="10" ma:contentTypeDescription="Opret et nyt dokument." ma:contentTypeScope="" ma:versionID="b624e7cd0ff2384fd1d697a2a61ca678">
  <xsd:schema xmlns:xsd="http://www.w3.org/2001/XMLSchema" xmlns:xs="http://www.w3.org/2001/XMLSchema" xmlns:p="http://schemas.microsoft.com/office/2006/metadata/properties" xmlns:ns1="http://schemas.microsoft.com/sharepoint/v3" xmlns:ns2="a845764b-f903-4397-8c48-009c1016805e" xmlns:ns3="http://schemas.microsoft.com/sharepoint/v3/fields" xmlns:ns4="4db0e8b4-9bf6-409c-93e1-ea40812dd399" targetNamespace="http://schemas.microsoft.com/office/2006/metadata/properties" ma:root="true" ma:fieldsID="5e59a6313ea5243e0163fc05212849a1" ns1:_="" ns2:_="" ns3:_="" ns4:_="">
    <xsd:import namespace="http://schemas.microsoft.com/sharepoint/v3"/>
    <xsd:import namespace="a845764b-f903-4397-8c48-009c1016805e"/>
    <xsd:import namespace="http://schemas.microsoft.com/sharepoint/v3/fields"/>
    <xsd:import namespace="4db0e8b4-9bf6-409c-93e1-ea40812dd399"/>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gfe03cefe5bf4e6dba229fd7d6f6a99c" ma:index="16"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9"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21"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b0e8b4-9bf6-409c-93e1-ea40812dd399"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ightsOfUse2 xmlns="4db0e8b4-9bf6-409c-93e1-ea40812dd399">Fri afbenyttelse</RightsOfUse2>
    <Samtykkenummer xmlns="a845764b-f903-4397-8c48-009c1016805e" xsi:nil="true"/>
    <dd386d2074254fe98dbdc7b398d39e1d xmlns="a845764b-f903-4397-8c48-009c1016805e">
      <Terms xmlns="http://schemas.microsoft.com/office/infopath/2007/PartnerControls"/>
    </dd386d2074254fe98dbdc7b398d39e1d>
    <gfe03cefe5bf4e6dba229fd7d6f6a99c xmlns="a845764b-f903-4397-8c48-009c1016805e">
      <Terms xmlns="http://schemas.microsoft.com/office/infopath/2007/PartnerControls"/>
    </gfe03cefe5bf4e6dba229fd7d6f6a99c>
    <PublishingExpirationDate xmlns="http://schemas.microsoft.com/sharepoint/v3" xsi:nil="true"/>
    <PublishingStartDate xmlns="http://schemas.microsoft.com/sharepoint/v3" xsi:nil="true"/>
    <TaxCatchAll xmlns="a845764b-f903-4397-8c48-009c1016805e"/>
    <Samtykkenummer_x0020__x0028_EKSTRA_x0020_FELT_x0029_ xmlns="a845764b-f903-4397-8c48-009c1016805e" xsi:nil="true"/>
    <l8452ac6c6bb4fd595ba6432097935d3 xmlns="a845764b-f903-4397-8c48-009c1016805e">
      <Terms xmlns="http://schemas.microsoft.com/office/infopath/2007/PartnerControls"/>
    </l8452ac6c6bb4fd595ba6432097935d3>
    <wic_System_Copyright xmlns="http://schemas.microsoft.com/sharepoint/v3/fields" xsi:nil="true"/>
    <_dlc_DocId xmlns="a845764b-f903-4397-8c48-009c1016805e">HREGIONH-1415558051-16</_dlc_DocId>
    <_dlc_DocIdUrl xmlns="a845764b-f903-4397-8c48-009c1016805e">
      <Url>https://www.regionh.dk/til-fagfolk/Klima-og-miljoe/jordforurening/innovation-og-videndeling/_layouts/15/DocIdRedir.aspx?ID=HREGIONH-1415558051-16</Url>
      <Description>HREGIONH-1415558051-16</Description>
    </_dlc_DocIdUrl>
    <Sidst_x0020_opdateret xmlns="a845764b-f903-4397-8c48-009c1016805e" xsi:nil="true"/>
    <Dokumenttype xmlns="a845764b-f903-4397-8c48-009c1016805e" xsi:nil="true"/>
    <Yderligere_x0020_information xmlns="a845764b-f903-4397-8c48-009c1016805e" xsi:nil="true"/>
  </documentManagement>
</p:properties>
</file>

<file path=customXml/itemProps1.xml><?xml version="1.0" encoding="utf-8"?>
<ds:datastoreItem xmlns:ds="http://schemas.openxmlformats.org/officeDocument/2006/customXml" ds:itemID="{8A35C547-CF54-4B2B-80A7-B4BA5177B429}"/>
</file>

<file path=customXml/itemProps2.xml><?xml version="1.0" encoding="utf-8"?>
<ds:datastoreItem xmlns:ds="http://schemas.openxmlformats.org/officeDocument/2006/customXml" ds:itemID="{550B7EFA-7085-412A-8925-7D6EAB9C6A6B}"/>
</file>

<file path=customXml/itemProps3.xml><?xml version="1.0" encoding="utf-8"?>
<ds:datastoreItem xmlns:ds="http://schemas.openxmlformats.org/officeDocument/2006/customXml" ds:itemID="{68BE2C0D-5F23-4430-B192-51986C56010F}"/>
</file>

<file path=customXml/itemProps4.xml><?xml version="1.0" encoding="utf-8"?>
<ds:datastoreItem xmlns:ds="http://schemas.openxmlformats.org/officeDocument/2006/customXml" ds:itemID="{C9A63E8A-A491-4728-99D9-B7CD13D95C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16</vt:i4>
      </vt:variant>
      <vt:variant>
        <vt:lpstr>Navngivne områder</vt:lpstr>
      </vt:variant>
      <vt:variant>
        <vt:i4>20</vt:i4>
      </vt:variant>
    </vt:vector>
  </HeadingPairs>
  <TitlesOfParts>
    <vt:vector size="36" baseType="lpstr">
      <vt:lpstr>Intro</vt:lpstr>
      <vt:lpstr>Analyser og resultater</vt:lpstr>
      <vt:lpstr>Jordtype</vt:lpstr>
      <vt:lpstr>PieCharts1</vt:lpstr>
      <vt:lpstr>PieCharts2</vt:lpstr>
      <vt:lpstr>Følsomhedsanalyse</vt:lpstr>
      <vt:lpstr>Jordparametre</vt:lpstr>
      <vt:lpstr>Kia og Kd</vt:lpstr>
      <vt:lpstr>Referenceliste</vt:lpstr>
      <vt:lpstr>Forklaring (Ct vs. Cs)</vt:lpstr>
      <vt:lpstr>Kia</vt:lpstr>
      <vt:lpstr>Aia</vt:lpstr>
      <vt:lpstr>Ændringslog</vt:lpstr>
      <vt:lpstr>Tomt ark</vt:lpstr>
      <vt:lpstr>Forklaring (Kladde)</vt:lpstr>
      <vt:lpstr>Rullelister mm.</vt:lpstr>
      <vt:lpstr>BetydendeCifre</vt:lpstr>
      <vt:lpstr>FølsomhedsanalyseKd</vt:lpstr>
      <vt:lpstr>FølsomhedsanalyseKia</vt:lpstr>
      <vt:lpstr>Ingen</vt:lpstr>
      <vt:lpstr>MZ</vt:lpstr>
      <vt:lpstr>Aia!Udskriftsområde</vt:lpstr>
      <vt:lpstr>'Analyser og resultater'!Udskriftsområde</vt:lpstr>
      <vt:lpstr>'Forklaring (Ct vs. Cs)'!Udskriftsområde</vt:lpstr>
      <vt:lpstr>Følsomhedsanalyse!Udskriftsområde</vt:lpstr>
      <vt:lpstr>Intro!Udskriftsområde</vt:lpstr>
      <vt:lpstr>Jordparametre!Udskriftsområde</vt:lpstr>
      <vt:lpstr>Jordtype!Udskriftsområde</vt:lpstr>
      <vt:lpstr>Kia!Udskriftsområde</vt:lpstr>
      <vt:lpstr>'Kia og Kd'!Udskriftsområde</vt:lpstr>
      <vt:lpstr>PieCharts1!Udskriftsområde</vt:lpstr>
      <vt:lpstr>PieCharts2!Udskriftsområde</vt:lpstr>
      <vt:lpstr>Referenceliste!Udskriftsområde</vt:lpstr>
      <vt:lpstr>Ændringslog!Udskriftsområde</vt:lpstr>
      <vt:lpstr>UZ</vt:lpstr>
      <vt:lpstr>Zoner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Per Loll</dc:creator>
  <cp:lastModifiedBy>Jeanette Olsen</cp:lastModifiedBy>
  <cp:lastPrinted>2025-09-17T07:49:57Z</cp:lastPrinted>
  <dcterms:created xsi:type="dcterms:W3CDTF">2025-04-23T12:41:02Z</dcterms:created>
  <dcterms:modified xsi:type="dcterms:W3CDTF">2025-10-13T07:01:49Z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0x0101008774318A9C8C5E49B74BB16E019CEE5E</vt:lpwstr>
  </property>
  <property fmtid="{D5CDD505-2E9C-101B-9397-08002B2CF9AE}" pid="3" name="_dlc_DocIdItemGuid">
    <vt:lpwstr>03320ea5-0a8c-432e-8d03-76bb8f9a4468</vt:lpwstr>
  </property>
  <property fmtid="{D5CDD505-2E9C-101B-9397-08002B2CF9AE}" pid="4" name="taggedtags">
    <vt:lpwstr/>
  </property>
  <property fmtid="{D5CDD505-2E9C-101B-9397-08002B2CF9AE}" pid="5" name="division">
    <vt:lpwstr/>
  </property>
  <property fmtid="{D5CDD505-2E9C-101B-9397-08002B2CF9AE}" pid="6" name="unit">
    <vt:lpwstr/>
  </property>
</Properties>
</file>